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Homeownership\ONE Mortgage Program\City of Boston\ONE+Boston\Calculator\"/>
    </mc:Choice>
  </mc:AlternateContent>
  <xr:revisionPtr revIDLastSave="0" documentId="13_ncr:1_{44FD0146-8CAF-497F-93CF-7F6463EB742B}" xr6:coauthVersionLast="47" xr6:coauthVersionMax="47" xr10:uidLastSave="{00000000-0000-0000-0000-000000000000}"/>
  <bookViews>
    <workbookView xWindow="-11130" yWindow="2130" windowWidth="21600" windowHeight="11385" xr2:uid="{00000000-000D-0000-FFFF-FFFF00000000}"/>
  </bookViews>
  <sheets>
    <sheet name="Manual Application" sheetId="1" r:id="rId1"/>
    <sheet name="Config" sheetId="2" r:id="rId2"/>
  </sheets>
  <definedNames>
    <definedName name="_xlnm.Print_Area" localSheetId="0">'Manual Application'!$A$1:$P$56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D6" i="1"/>
  <c r="D8" i="1"/>
  <c r="D9" i="1"/>
  <c r="D10" i="1"/>
  <c r="D11" i="1"/>
  <c r="D12" i="1"/>
  <c r="B19" i="2" s="1"/>
  <c r="D16" i="1"/>
  <c r="D19" i="1"/>
  <c r="D20" i="1"/>
  <c r="D23" i="1"/>
  <c r="F33" i="1" l="1"/>
  <c r="B25" i="2" l="1"/>
  <c r="F36" i="1" s="1"/>
  <c r="B24" i="2"/>
  <c r="B23" i="2"/>
  <c r="B22" i="2"/>
  <c r="B21" i="2"/>
  <c r="B20" i="2"/>
  <c r="B7" i="1"/>
  <c r="D7" i="1" s="1"/>
  <c r="F45" i="1" l="1"/>
  <c r="B33" i="1"/>
  <c r="D33" i="1" s="1"/>
  <c r="B36" i="1"/>
  <c r="F38" i="1" l="1"/>
  <c r="D36" i="1"/>
  <c r="B24" i="1" s="1"/>
  <c r="D24" i="1" l="1"/>
  <c r="B30" i="1"/>
  <c r="D30" i="1" s="1"/>
  <c r="B52" i="1" l="1"/>
  <c r="H26" i="1"/>
  <c r="B32" i="1" l="1"/>
  <c r="D32" i="1" s="1"/>
  <c r="F40" i="1" l="1"/>
  <c r="F44" i="1"/>
  <c r="D13" i="1"/>
  <c r="B15" i="1" s="1"/>
  <c r="D15" i="1" s="1"/>
  <c r="D28" i="1" l="1"/>
  <c r="B51" i="1"/>
  <c r="B29" i="1"/>
  <c r="D29" i="1" s="1"/>
  <c r="B14" i="1"/>
  <c r="D14" i="1" s="1"/>
  <c r="B18" i="1"/>
  <c r="D18" i="1" s="1"/>
  <c r="F41" i="1" l="1"/>
  <c r="D17" i="1"/>
  <c r="B22" i="1" s="1"/>
  <c r="D22" i="1" s="1"/>
  <c r="B31" i="1"/>
  <c r="D31" i="1" s="1"/>
  <c r="F37" i="1"/>
  <c r="B21" i="1"/>
  <c r="D21" i="1"/>
  <c r="L22" i="1" l="1"/>
  <c r="I8" i="1"/>
  <c r="N8" i="1"/>
  <c r="B50" i="1"/>
  <c r="B53" i="1" s="1"/>
  <c r="B45" i="1"/>
  <c r="L8" i="1"/>
  <c r="B25" i="1"/>
  <c r="D25" i="1" s="1"/>
  <c r="B17" i="1"/>
  <c r="J8" i="1"/>
  <c r="G8" i="1"/>
  <c r="H8" i="1"/>
  <c r="K8" i="1"/>
  <c r="M8" i="1"/>
  <c r="F42" i="1"/>
  <c r="H18" i="1" l="1"/>
  <c r="H19" i="1"/>
  <c r="N12" i="1"/>
  <c r="M12" i="1"/>
  <c r="K12" i="1"/>
  <c r="G12" i="1"/>
  <c r="J10" i="1"/>
  <c r="I10" i="1"/>
  <c r="K9" i="1"/>
  <c r="H10" i="1"/>
  <c r="L10" i="1"/>
  <c r="J12" i="1"/>
  <c r="M10" i="1"/>
  <c r="K11" i="1"/>
  <c r="G11" i="1"/>
  <c r="I9" i="1"/>
  <c r="H9" i="1"/>
  <c r="L9" i="1"/>
  <c r="G10" i="1"/>
  <c r="L11" i="1"/>
  <c r="M11" i="1"/>
  <c r="K10" i="1"/>
  <c r="N10" i="1"/>
  <c r="J11" i="1"/>
  <c r="I11" i="1"/>
  <c r="G9" i="1"/>
  <c r="J9" i="1"/>
  <c r="I12" i="1"/>
  <c r="H12" i="1"/>
  <c r="M9" i="1"/>
  <c r="H11" i="1"/>
  <c r="L12" i="1"/>
  <c r="B40" i="1"/>
  <c r="D40" i="1" s="1"/>
  <c r="N9" i="1"/>
  <c r="N11" i="1"/>
  <c r="L23" i="1"/>
  <c r="L24" i="1" s="1"/>
  <c r="F43" i="1"/>
  <c r="N18" i="1"/>
  <c r="N19" i="1"/>
  <c r="G18" i="1"/>
  <c r="G19" i="1"/>
  <c r="L19" i="1"/>
  <c r="L18" i="1"/>
  <c r="M18" i="1"/>
  <c r="M19" i="1"/>
  <c r="J18" i="1"/>
  <c r="J19" i="1"/>
  <c r="I18" i="1"/>
  <c r="I19" i="1"/>
  <c r="K18" i="1"/>
  <c r="K19" i="1"/>
  <c r="F39" i="1"/>
  <c r="H22" i="1"/>
  <c r="H25" i="1" l="1"/>
  <c r="H23" i="1"/>
  <c r="H24" i="1" s="1"/>
  <c r="M14" i="1"/>
  <c r="M15" i="1"/>
  <c r="M16" i="1" s="1"/>
  <c r="G15" i="1"/>
  <c r="G16" i="1" s="1"/>
  <c r="G14" i="1"/>
  <c r="J14" i="1"/>
  <c r="J15" i="1"/>
  <c r="J16" i="1" s="1"/>
  <c r="I14" i="1"/>
  <c r="I15" i="1"/>
  <c r="I16" i="1" s="1"/>
  <c r="N15" i="1"/>
  <c r="N16" i="1" s="1"/>
  <c r="N14" i="1"/>
  <c r="L15" i="1"/>
  <c r="L16" i="1" s="1"/>
  <c r="L14" i="1"/>
  <c r="H14" i="1"/>
  <c r="H15" i="1"/>
  <c r="H16" i="1" s="1"/>
  <c r="K15" i="1"/>
  <c r="K16" i="1" s="1"/>
  <c r="K14" i="1"/>
  <c r="B26" i="1" l="1"/>
  <c r="D26" i="1" s="1"/>
  <c r="B27" i="1" s="1"/>
  <c r="D27" i="1" s="1"/>
  <c r="B47" i="1"/>
  <c r="B46" i="1"/>
  <c r="B48" i="1" s="1"/>
  <c r="B38" i="1" l="1"/>
  <c r="B39" i="1"/>
  <c r="F34" i="1" l="1"/>
  <c r="D39" i="1"/>
  <c r="D38" i="1"/>
  <c r="F32" i="1"/>
  <c r="F35" i="1"/>
  <c r="B41" i="1" l="1"/>
  <c r="B42" i="1" s="1"/>
  <c r="B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Worsham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Updated 4/19/2022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Includes:</t>
        </r>
        <r>
          <rPr>
            <sz val="9"/>
            <color indexed="81"/>
            <rFont val="Tahoma"/>
            <family val="2"/>
          </rPr>
          <t xml:space="preserve">
- Checking/savings accounts
- Stocks
- Bonds
- Roth IRAs
- Other capital investments
- Gifted funds
- Gifts of equity (if non-arm's length purchase)
- Seller concessions
- Real property (whole or partial interest)
</t>
        </r>
        <r>
          <rPr>
            <b/>
            <sz val="9"/>
            <color indexed="81"/>
            <rFont val="Tahoma"/>
            <family val="2"/>
          </rPr>
          <t xml:space="preserve">Excludes:
</t>
        </r>
        <r>
          <rPr>
            <sz val="9"/>
            <color indexed="81"/>
            <rFont val="Tahoma"/>
            <family val="2"/>
          </rPr>
          <t>- All retirement accounts except Roth IRAs
- Government-approved college savings plans
- Municpally-funded buydowns
- Community, municipal or employer-funded assistance that qualifes under FNMA's Community Seconds Program</t>
        </r>
      </text>
    </comment>
    <comment ref="A14" authorId="0" shapeId="0" xr:uid="{00000000-0006-0000-0000-000003000000}">
      <text>
        <r>
          <rPr>
            <sz val="9"/>
            <color indexed="81"/>
            <rFont val="Tahoma"/>
            <family val="2"/>
          </rPr>
          <t>From the borrower's seasoned funds</t>
        </r>
      </text>
    </comment>
    <comment ref="A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- Gifted funds
- Employer grant
- Non-FAP public sources</t>
        </r>
      </text>
    </comment>
    <comment ref="A2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- Lender closing cost credit
- Seller concessions</t>
        </r>
      </text>
    </comment>
    <comment ref="A23" authorId="0" shapeId="0" xr:uid="{00000000-0006-0000-0000-000006000000}">
      <text>
        <r>
          <rPr>
            <sz val="9"/>
            <color indexed="81"/>
            <rFont val="Tahoma"/>
            <family val="2"/>
          </rPr>
          <t>Enter a rate no greater than 30 BPS below the average for 30-year mortgages as reported in the latest Primary Mortgage Market Survey published by Freddie Mac: http://www.freddiemac.com/pmms/</t>
        </r>
      </text>
    </comment>
    <comment ref="A28" authorId="0" shapeId="0" xr:uid="{00000000-0006-0000-0000-000007000000}">
      <text>
        <r>
          <rPr>
            <sz val="9"/>
            <color indexed="81"/>
            <rFont val="Tahoma"/>
            <family val="2"/>
          </rPr>
          <t>Based on annual tax rate of $10.88 per $1000 of property value in Boston
(from MA DOR)</t>
        </r>
      </text>
    </comment>
    <comment ref="A29" authorId="0" shapeId="0" xr:uid="{00000000-0006-0000-0000-000008000000}">
      <text>
        <r>
          <rPr>
            <sz val="9"/>
            <color indexed="81"/>
            <rFont val="Tahoma"/>
            <family val="2"/>
          </rPr>
          <t>Based on statewide annual average of $3.50 per $1000 of property value (from MHP portfolio)</t>
        </r>
      </text>
    </comment>
    <comment ref="A30" authorId="0" shapeId="0" xr:uid="{00000000-0006-0000-0000-000009000000}">
      <text>
        <r>
          <rPr>
            <sz val="9"/>
            <color indexed="81"/>
            <rFont val="Tahoma"/>
            <family val="2"/>
          </rPr>
          <t>Based on a average rate of $1.02 per $1000 of property value in Boston (from MHP portfolio)</t>
        </r>
      </text>
    </comment>
    <comment ref="A32" authorId="0" shapeId="0" xr:uid="{00000000-0006-0000-0000-00000A000000}">
      <text>
        <r>
          <rPr>
            <sz val="9"/>
            <color indexed="81"/>
            <rFont val="Tahoma"/>
            <family val="2"/>
          </rPr>
          <t>Based on average of $3.83 per $1000 of Two-Family property value and $3.04 per $1000 of Three-Family property value (from MHP portfolio)</t>
        </r>
      </text>
    </comment>
    <comment ref="A33" authorId="0" shapeId="0" xr:uid="{00000000-0006-0000-0000-00000B000000}">
      <text>
        <r>
          <rPr>
            <sz val="9"/>
            <color indexed="81"/>
            <rFont val="Tahoma"/>
            <family val="2"/>
          </rPr>
          <t>Based on average of $3.04 per $1000 of Three-Family property value (from MHP portfolio)</t>
        </r>
      </text>
    </comment>
  </commentList>
</comments>
</file>

<file path=xl/sharedStrings.xml><?xml version="1.0" encoding="utf-8"?>
<sst xmlns="http://schemas.openxmlformats.org/spreadsheetml/2006/main" count="107" uniqueCount="101">
  <si>
    <t>Purchase Price</t>
  </si>
  <si>
    <t>Mortgage Principal</t>
  </si>
  <si>
    <t>Insurance</t>
  </si>
  <si>
    <t>Condo Fees</t>
  </si>
  <si>
    <t>Rent (Unit 1)</t>
  </si>
  <si>
    <t>Rent (Unit 2)</t>
  </si>
  <si>
    <t>Other Monthly Debt</t>
  </si>
  <si>
    <t>Total Down Payment</t>
  </si>
  <si>
    <t>Borrower Down Payment</t>
  </si>
  <si>
    <t>Down Payment Assistance</t>
  </si>
  <si>
    <t>Monthly Subsidy</t>
  </si>
  <si>
    <t>Public Funding</t>
  </si>
  <si>
    <t>LLR</t>
  </si>
  <si>
    <t>Present Value Subsidy</t>
  </si>
  <si>
    <t>Full Value Subsidy</t>
  </si>
  <si>
    <t>ONE+ Discount Funds</t>
  </si>
  <si>
    <t>Property Type</t>
  </si>
  <si>
    <t>Household Size</t>
  </si>
  <si>
    <t>Single-Family</t>
  </si>
  <si>
    <t>Condominium</t>
  </si>
  <si>
    <t>Two-Family</t>
  </si>
  <si>
    <t>Three-Family</t>
  </si>
  <si>
    <t>Calc</t>
  </si>
  <si>
    <t>ONE Base Interest Rate</t>
  </si>
  <si>
    <t>Income Limits</t>
  </si>
  <si>
    <t>Income Level</t>
  </si>
  <si>
    <t>80%</t>
  </si>
  <si>
    <t>100%</t>
  </si>
  <si>
    <t>Property Taxes</t>
  </si>
  <si>
    <t>Rate Discount</t>
  </si>
  <si>
    <t>Subsidized PI</t>
  </si>
  <si>
    <t>Subsidy Yrs 1-4</t>
  </si>
  <si>
    <t>Subsidy Yr 5</t>
  </si>
  <si>
    <t>Subsidy Yr 6</t>
  </si>
  <si>
    <t>Subsidy Yr 7</t>
  </si>
  <si>
    <t>FVS</t>
  </si>
  <si>
    <t>PVS</t>
  </si>
  <si>
    <t>Total MHP Funds</t>
  </si>
  <si>
    <t>Subsidized HTI</t>
  </si>
  <si>
    <t>Subsidized DTI</t>
  </si>
  <si>
    <t>MHP Subsidy Worksheet</t>
  </si>
  <si>
    <t>System Config</t>
  </si>
  <si>
    <t>FNMA Loan Limit</t>
  </si>
  <si>
    <t>HTI Limit</t>
  </si>
  <si>
    <t>DTI Limit</t>
  </si>
  <si>
    <t>HTI</t>
  </si>
  <si>
    <t>DTI</t>
  </si>
  <si>
    <t>Tier 1 HTI Limit</t>
  </si>
  <si>
    <t>Tier 1 DTI Limit</t>
  </si>
  <si>
    <t>Auto-Calculate</t>
  </si>
  <si>
    <t>Underwriting Status</t>
  </si>
  <si>
    <t>Year 8 HTI</t>
  </si>
  <si>
    <t>Manual Entry</t>
  </si>
  <si>
    <t>Unsubsidized PI</t>
  </si>
  <si>
    <t>ONE+ Interest Rate</t>
  </si>
  <si>
    <t>Reserves</t>
  </si>
  <si>
    <t>Underwriting Determination</t>
  </si>
  <si>
    <t>Subsidy HTI Floor</t>
  </si>
  <si>
    <t>ONE+Boston Calculator</t>
  </si>
  <si>
    <r>
      <t xml:space="preserve">1. Fill in all </t>
    </r>
    <r>
      <rPr>
        <b/>
        <sz val="11"/>
        <color theme="8" tint="-0.249977111117893"/>
        <rFont val="Calibri Light"/>
        <family val="2"/>
        <scheme val="major"/>
      </rPr>
      <t>blue</t>
    </r>
    <r>
      <rPr>
        <sz val="11"/>
        <color theme="1"/>
        <rFont val="Calibri"/>
        <family val="2"/>
        <scheme val="minor"/>
      </rPr>
      <t xml:space="preserve"> cells to generate complete application</t>
    </r>
  </si>
  <si>
    <r>
      <t xml:space="preserve">1. Do not edit cells that are neither </t>
    </r>
    <r>
      <rPr>
        <b/>
        <sz val="11"/>
        <color theme="8" tint="-0.249977111117893"/>
        <rFont val="Calibri Light"/>
        <family val="2"/>
        <scheme val="major"/>
      </rPr>
      <t>blue</t>
    </r>
    <r>
      <rPr>
        <sz val="11"/>
        <color theme="1"/>
        <rFont val="Calibri"/>
        <family val="2"/>
        <scheme val="minor"/>
      </rPr>
      <t xml:space="preserve"> nor </t>
    </r>
    <r>
      <rPr>
        <b/>
        <sz val="11"/>
        <color theme="9" tint="-0.249977111117893"/>
        <rFont val="Calibri Light"/>
        <family val="2"/>
        <scheme val="major"/>
      </rPr>
      <t>green</t>
    </r>
  </si>
  <si>
    <r>
      <t xml:space="preserve">2. </t>
    </r>
    <r>
      <rPr>
        <b/>
        <sz val="11"/>
        <color theme="9" tint="-0.249977111117893"/>
        <rFont val="Calibri Light"/>
        <family val="2"/>
        <scheme val="major"/>
      </rPr>
      <t>Green</t>
    </r>
    <r>
      <rPr>
        <sz val="11"/>
        <color theme="1"/>
        <rFont val="Calibri"/>
        <family val="2"/>
        <scheme val="minor"/>
      </rPr>
      <t xml:space="preserve"> cells must be empty for auto-calculate cells to be used</t>
    </r>
  </si>
  <si>
    <t xml:space="preserve">     Directions:</t>
  </si>
  <si>
    <r>
      <t xml:space="preserve">   </t>
    </r>
    <r>
      <rPr>
        <b/>
        <sz val="11"/>
        <color theme="1"/>
        <rFont val="Calibri Light"/>
        <family val="2"/>
        <scheme val="major"/>
      </rPr>
      <t xml:space="preserve"> Notes:</t>
    </r>
  </si>
  <si>
    <r>
      <t xml:space="preserve">2. Fill in </t>
    </r>
    <r>
      <rPr>
        <b/>
        <sz val="11"/>
        <color theme="9" tint="-0.249977111117893"/>
        <rFont val="Calibri Light"/>
        <family val="2"/>
        <scheme val="major"/>
      </rPr>
      <t>green</t>
    </r>
    <r>
      <rPr>
        <sz val="11"/>
        <color theme="1"/>
        <rFont val="Calibri"/>
        <family val="2"/>
        <scheme val="minor"/>
      </rPr>
      <t xml:space="preserve"> cells as needed to override auto-calculate values</t>
    </r>
  </si>
  <si>
    <t>Compliance Income (Annual)</t>
  </si>
  <si>
    <t>Underwriting Income (Annual)</t>
  </si>
  <si>
    <t>Credit Score</t>
  </si>
  <si>
    <t>FICO Minimum</t>
  </si>
  <si>
    <t>FAP Funds Remaining</t>
  </si>
  <si>
    <t>Additional Purchasing Power w/ FAP</t>
  </si>
  <si>
    <t>Interest Rate Discount Program</t>
  </si>
  <si>
    <r>
      <rPr>
        <b/>
        <i/>
        <vertAlign val="superscript"/>
        <sz val="11"/>
        <color theme="2" tint="-0.749992370372631"/>
        <rFont val="Calibri"/>
        <family val="2"/>
        <scheme val="minor"/>
      </rPr>
      <t>1</t>
    </r>
    <r>
      <rPr>
        <i/>
        <sz val="11"/>
        <color theme="2" tint="-0.749992370372631"/>
        <rFont val="Calibri"/>
        <family val="2"/>
        <scheme val="minor"/>
      </rPr>
      <t>Doesn't take into account higher tax, insurance or condo fee payments, nor rental income (as applicable)</t>
    </r>
  </si>
  <si>
    <r>
      <rPr>
        <b/>
        <i/>
        <vertAlign val="superscript"/>
        <sz val="11"/>
        <color theme="2" tint="-0.749992370372631"/>
        <rFont val="Calibri"/>
        <family val="2"/>
        <scheme val="minor"/>
      </rPr>
      <t>2</t>
    </r>
    <r>
      <rPr>
        <i/>
        <sz val="11"/>
        <color theme="2" tint="-0.749992370372631"/>
        <rFont val="Calibri"/>
        <family val="2"/>
        <scheme val="minor"/>
      </rPr>
      <t>Assumes minimum borrower contribution; if more borrower funds available, down payment and purchase price may be increased accordingly</t>
    </r>
  </si>
  <si>
    <t>Closing Cost Assistance</t>
  </si>
  <si>
    <t>Total CoB Funds</t>
  </si>
  <si>
    <t>Household Liquid Assets</t>
  </si>
  <si>
    <t>Borrower Closing Costs</t>
  </si>
  <si>
    <t>Other Down Payment Sources</t>
  </si>
  <si>
    <t>FAP Closing Cost Assistance</t>
  </si>
  <si>
    <t>Gap to Purchase</t>
  </si>
  <si>
    <t>Total Closing Costs</t>
  </si>
  <si>
    <t>Available Liquid Assets</t>
  </si>
  <si>
    <t>Difference</t>
  </si>
  <si>
    <r>
      <t>Maximum Purchase Price</t>
    </r>
    <r>
      <rPr>
        <b/>
        <i/>
        <vertAlign val="superscript"/>
        <sz val="11"/>
        <color theme="1" tint="0.249977111117893"/>
        <rFont val="Calibri"/>
        <family val="2"/>
        <scheme val="minor"/>
      </rPr>
      <t>1</t>
    </r>
  </si>
  <si>
    <r>
      <t>Borrower Down Payment</t>
    </r>
    <r>
      <rPr>
        <b/>
        <i/>
        <vertAlign val="superscript"/>
        <sz val="11"/>
        <color theme="1" tint="0.249977111117893"/>
        <rFont val="Calibri"/>
        <family val="2"/>
        <scheme val="minor"/>
      </rPr>
      <t>2</t>
    </r>
  </si>
  <si>
    <t>FAP Asset Test</t>
  </si>
  <si>
    <t>Other Closing Cost Sources</t>
  </si>
  <si>
    <t>Video Tutorial</t>
  </si>
  <si>
    <t>FAP Down Payment Assistance</t>
  </si>
  <si>
    <t>Additional Information</t>
  </si>
  <si>
    <t>Lender</t>
  </si>
  <si>
    <t>Applicant Name</t>
  </si>
  <si>
    <t>Cambridge Trust</t>
  </si>
  <si>
    <t>Citizens Bank</t>
  </si>
  <si>
    <t>City of Boston Credit Union</t>
  </si>
  <si>
    <t>TCB</t>
  </si>
  <si>
    <t>Rockland Trust</t>
  </si>
  <si>
    <t>Silicon Valley Bank</t>
  </si>
  <si>
    <t>Eastern Bank</t>
  </si>
  <si>
    <t>Cambridge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</si>
</sst>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theme="8" tint="-0.249977111117893"/>
      <name val="Calibri Light"/>
      <family val="2"/>
      <scheme val="major"/>
    </font>
    <font>
      <b/>
      <sz val="11"/>
      <color theme="9" tint="-0.249977111117893"/>
      <name val="Calibri Light"/>
      <family val="2"/>
      <scheme val="major"/>
    </font>
    <font>
      <b/>
      <i/>
      <sz val="11"/>
      <color theme="1" tint="0.249977111117893"/>
      <name val="Calibri Light"/>
      <family val="2"/>
      <scheme val="major"/>
    </font>
    <font>
      <b/>
      <i/>
      <sz val="11"/>
      <color theme="2" tint="-0.749992370372631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i/>
      <vertAlign val="superscript"/>
      <sz val="11"/>
      <color theme="2" tint="-0.74999237037263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i/>
      <vertAlign val="superscript"/>
      <sz val="11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auto="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theme="2" tint="-9.9948118533890809E-2"/>
      </right>
      <top style="thin">
        <color theme="2" tint="-9.9948118533890809E-2"/>
      </top>
      <bottom style="thin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auto="1"/>
      </bottom>
      <diagonal/>
    </border>
    <border>
      <left style="thin">
        <color theme="2" tint="-9.9948118533890809E-2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2" tint="-9.9948118533890809E-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/>
      <top/>
      <bottom style="thin">
        <color theme="2" tint="-9.9948118533890809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48118533890809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2" tint="-9.9948118533890809E-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auto="1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dashed">
        <color indexed="64"/>
      </bottom>
      <diagonal/>
    </border>
    <border>
      <left style="thin">
        <color indexed="64"/>
      </left>
      <right/>
      <top style="thin">
        <color theme="2" tint="-9.9948118533890809E-2"/>
      </top>
      <bottom style="dashed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42">
    <xf numFmtId="0" fontId="0" fillId="0" borderId="0" xfId="0"/>
    <xf numFmtId="9" fontId="0" fillId="0" borderId="0" xfId="0" applyNumberFormat="1"/>
    <xf numFmtId="0" fontId="0" fillId="0" borderId="0" xfId="0" applyNumberFormat="1"/>
    <xf numFmtId="0" fontId="0" fillId="0" borderId="1" xfId="0" applyBorder="1"/>
    <xf numFmtId="10" fontId="0" fillId="0" borderId="1" xfId="2" applyNumberFormat="1" applyFont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2" xfId="0" applyBorder="1"/>
    <xf numFmtId="0" fontId="0" fillId="0" borderId="4" xfId="0" applyBorder="1"/>
    <xf numFmtId="10" fontId="0" fillId="0" borderId="5" xfId="2" applyNumberFormat="1" applyFont="1" applyBorder="1"/>
    <xf numFmtId="44" fontId="0" fillId="0" borderId="5" xfId="1" applyFont="1" applyBorder="1"/>
    <xf numFmtId="44" fontId="0" fillId="0" borderId="5" xfId="0" applyNumberFormat="1" applyBorder="1"/>
    <xf numFmtId="0" fontId="0" fillId="0" borderId="5" xfId="0" applyBorder="1"/>
    <xf numFmtId="0" fontId="0" fillId="0" borderId="6" xfId="0" applyBorder="1"/>
    <xf numFmtId="10" fontId="0" fillId="0" borderId="7" xfId="2" applyNumberFormat="1" applyFont="1" applyBorder="1"/>
    <xf numFmtId="10" fontId="0" fillId="0" borderId="8" xfId="2" applyNumberFormat="1" applyFont="1" applyBorder="1"/>
    <xf numFmtId="0" fontId="0" fillId="0" borderId="10" xfId="0" applyBorder="1"/>
    <xf numFmtId="44" fontId="0" fillId="0" borderId="10" xfId="1" applyFont="1" applyBorder="1"/>
    <xf numFmtId="164" fontId="0" fillId="0" borderId="10" xfId="2" applyNumberFormat="1" applyFont="1" applyBorder="1"/>
    <xf numFmtId="10" fontId="0" fillId="0" borderId="10" xfId="2" applyNumberFormat="1" applyFont="1" applyBorder="1"/>
    <xf numFmtId="44" fontId="0" fillId="0" borderId="11" xfId="1" applyFont="1" applyBorder="1"/>
    <xf numFmtId="0" fontId="0" fillId="2" borderId="10" xfId="0" applyFill="1" applyBorder="1"/>
    <xf numFmtId="44" fontId="0" fillId="2" borderId="10" xfId="1" applyFont="1" applyFill="1" applyBorder="1"/>
    <xf numFmtId="0" fontId="0" fillId="0" borderId="14" xfId="0" applyBorder="1"/>
    <xf numFmtId="44" fontId="0" fillId="3" borderId="10" xfId="1" applyFont="1" applyFill="1" applyBorder="1"/>
    <xf numFmtId="164" fontId="0" fillId="3" borderId="10" xfId="2" applyNumberFormat="1" applyFont="1" applyFill="1" applyBorder="1"/>
    <xf numFmtId="44" fontId="0" fillId="0" borderId="10" xfId="1" applyFont="1" applyFill="1" applyBorder="1"/>
    <xf numFmtId="0" fontId="0" fillId="0" borderId="17" xfId="0" applyBorder="1"/>
    <xf numFmtId="10" fontId="0" fillId="0" borderId="12" xfId="2" applyNumberFormat="1" applyFont="1" applyBorder="1"/>
    <xf numFmtId="44" fontId="0" fillId="0" borderId="2" xfId="1" applyFont="1" applyBorder="1"/>
    <xf numFmtId="164" fontId="0" fillId="0" borderId="2" xfId="2" applyNumberFormat="1" applyFont="1" applyBorder="1"/>
    <xf numFmtId="0" fontId="0" fillId="0" borderId="18" xfId="0" applyBorder="1"/>
    <xf numFmtId="0" fontId="0" fillId="0" borderId="13" xfId="0" applyBorder="1"/>
    <xf numFmtId="0" fontId="0" fillId="0" borderId="20" xfId="0" applyBorder="1"/>
    <xf numFmtId="44" fontId="0" fillId="0" borderId="12" xfId="1" applyFont="1" applyBorder="1"/>
    <xf numFmtId="0" fontId="0" fillId="0" borderId="22" xfId="0" applyBorder="1"/>
    <xf numFmtId="0" fontId="0" fillId="0" borderId="24" xfId="0" applyBorder="1"/>
    <xf numFmtId="8" fontId="0" fillId="0" borderId="24" xfId="0" applyNumberFormat="1" applyBorder="1"/>
    <xf numFmtId="0" fontId="0" fillId="0" borderId="25" xfId="0" applyBorder="1"/>
    <xf numFmtId="0" fontId="5" fillId="0" borderId="26" xfId="0" applyFont="1" applyBorder="1"/>
    <xf numFmtId="0" fontId="0" fillId="0" borderId="27" xfId="0" applyBorder="1"/>
    <xf numFmtId="8" fontId="0" fillId="0" borderId="27" xfId="0" applyNumberFormat="1" applyBorder="1"/>
    <xf numFmtId="0" fontId="0" fillId="0" borderId="29" xfId="0" applyBorder="1"/>
    <xf numFmtId="0" fontId="0" fillId="0" borderId="30" xfId="0" applyBorder="1"/>
    <xf numFmtId="0" fontId="0" fillId="0" borderId="26" xfId="0" applyBorder="1"/>
    <xf numFmtId="44" fontId="0" fillId="0" borderId="24" xfId="1" applyFont="1" applyBorder="1"/>
    <xf numFmtId="0" fontId="0" fillId="0" borderId="32" xfId="0" applyBorder="1"/>
    <xf numFmtId="10" fontId="0" fillId="0" borderId="24" xfId="2" applyNumberFormat="1" applyFont="1" applyBorder="1"/>
    <xf numFmtId="0" fontId="0" fillId="0" borderId="33" xfId="0" applyBorder="1"/>
    <xf numFmtId="0" fontId="0" fillId="0" borderId="34" xfId="0" applyBorder="1"/>
    <xf numFmtId="0" fontId="0" fillId="0" borderId="23" xfId="0" applyBorder="1"/>
    <xf numFmtId="8" fontId="0" fillId="0" borderId="23" xfId="0" applyNumberFormat="1" applyBorder="1"/>
    <xf numFmtId="0" fontId="0" fillId="0" borderId="36" xfId="0" applyBorder="1"/>
    <xf numFmtId="0" fontId="6" fillId="0" borderId="14" xfId="0" applyFont="1" applyBorder="1"/>
    <xf numFmtId="0" fontId="6" fillId="0" borderId="15" xfId="0" applyFont="1" applyBorder="1"/>
    <xf numFmtId="44" fontId="0" fillId="0" borderId="11" xfId="1" applyFont="1" applyFill="1" applyBorder="1"/>
    <xf numFmtId="0" fontId="0" fillId="0" borderId="37" xfId="0" applyBorder="1"/>
    <xf numFmtId="0" fontId="0" fillId="0" borderId="21" xfId="0" applyBorder="1"/>
    <xf numFmtId="0" fontId="2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0" fillId="0" borderId="19" xfId="0" applyBorder="1"/>
    <xf numFmtId="44" fontId="0" fillId="0" borderId="18" xfId="1" applyFont="1" applyBorder="1"/>
    <xf numFmtId="0" fontId="7" fillId="0" borderId="9" xfId="0" applyFont="1" applyBorder="1"/>
    <xf numFmtId="0" fontId="7" fillId="0" borderId="24" xfId="0" applyFont="1" applyBorder="1" applyAlignment="1">
      <alignment horizontal="center"/>
    </xf>
    <xf numFmtId="0" fontId="7" fillId="0" borderId="38" xfId="0" applyFont="1" applyBorder="1"/>
    <xf numFmtId="0" fontId="0" fillId="0" borderId="39" xfId="0" applyBorder="1"/>
    <xf numFmtId="0" fontId="0" fillId="0" borderId="31" xfId="0" applyBorder="1"/>
    <xf numFmtId="165" fontId="0" fillId="0" borderId="40" xfId="1" applyNumberFormat="1" applyFont="1" applyBorder="1"/>
    <xf numFmtId="0" fontId="7" fillId="0" borderId="41" xfId="0" applyFont="1" applyBorder="1"/>
    <xf numFmtId="0" fontId="0" fillId="0" borderId="42" xfId="0" applyBorder="1"/>
    <xf numFmtId="10" fontId="0" fillId="0" borderId="3" xfId="2" applyNumberFormat="1" applyFont="1" applyBorder="1"/>
    <xf numFmtId="10" fontId="0" fillId="0" borderId="40" xfId="2" applyNumberFormat="1" applyFont="1" applyBorder="1"/>
    <xf numFmtId="0" fontId="5" fillId="0" borderId="43" xfId="0" applyFont="1" applyBorder="1"/>
    <xf numFmtId="0" fontId="0" fillId="0" borderId="44" xfId="0" applyBorder="1"/>
    <xf numFmtId="0" fontId="0" fillId="0" borderId="45" xfId="0" applyBorder="1"/>
    <xf numFmtId="0" fontId="5" fillId="0" borderId="46" xfId="0" applyFont="1" applyBorder="1"/>
    <xf numFmtId="0" fontId="0" fillId="0" borderId="47" xfId="0" applyBorder="1"/>
    <xf numFmtId="0" fontId="0" fillId="0" borderId="48" xfId="0" applyBorder="1"/>
    <xf numFmtId="0" fontId="10" fillId="0" borderId="44" xfId="0" applyFont="1" applyFill="1" applyBorder="1"/>
    <xf numFmtId="0" fontId="0" fillId="0" borderId="2" xfId="1" applyNumberFormat="1" applyFont="1" applyBorder="1"/>
    <xf numFmtId="0" fontId="0" fillId="0" borderId="8" xfId="2" applyNumberFormat="1" applyFon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3" xfId="0" applyBorder="1"/>
    <xf numFmtId="0" fontId="0" fillId="0" borderId="55" xfId="0" applyBorder="1"/>
    <xf numFmtId="44" fontId="0" fillId="0" borderId="56" xfId="0" applyNumberFormat="1" applyBorder="1"/>
    <xf numFmtId="44" fontId="0" fillId="0" borderId="52" xfId="1" applyFont="1" applyBorder="1"/>
    <xf numFmtId="0" fontId="5" fillId="0" borderId="58" xfId="0" applyFont="1" applyBorder="1"/>
    <xf numFmtId="0" fontId="0" fillId="0" borderId="59" xfId="0" applyBorder="1"/>
    <xf numFmtId="0" fontId="12" fillId="0" borderId="18" xfId="0" applyFont="1" applyBorder="1"/>
    <xf numFmtId="0" fontId="12" fillId="0" borderId="20" xfId="0" applyFont="1" applyFill="1" applyBorder="1"/>
    <xf numFmtId="0" fontId="11" fillId="0" borderId="11" xfId="0" applyFont="1" applyBorder="1"/>
    <xf numFmtId="44" fontId="12" fillId="0" borderId="16" xfId="1" applyFont="1" applyBorder="1"/>
    <xf numFmtId="0" fontId="12" fillId="0" borderId="14" xfId="0" applyFont="1" applyBorder="1"/>
    <xf numFmtId="44" fontId="12" fillId="0" borderId="10" xfId="1" applyFont="1" applyBorder="1"/>
    <xf numFmtId="0" fontId="11" fillId="0" borderId="44" xfId="0" applyFont="1" applyBorder="1"/>
    <xf numFmtId="0" fontId="11" fillId="0" borderId="22" xfId="0" applyFont="1" applyBorder="1"/>
    <xf numFmtId="44" fontId="0" fillId="0" borderId="60" xfId="1" applyFont="1" applyBorder="1"/>
    <xf numFmtId="44" fontId="0" fillId="0" borderId="35" xfId="0" applyNumberFormat="1" applyBorder="1"/>
    <xf numFmtId="44" fontId="0" fillId="0" borderId="28" xfId="0" applyNumberFormat="1" applyBorder="1"/>
    <xf numFmtId="44" fontId="0" fillId="2" borderId="12" xfId="1" applyFont="1" applyFill="1" applyBorder="1"/>
    <xf numFmtId="44" fontId="0" fillId="3" borderId="18" xfId="1" applyFont="1" applyFill="1" applyBorder="1"/>
    <xf numFmtId="44" fontId="0" fillId="0" borderId="9" xfId="1" applyFont="1" applyBorder="1"/>
    <xf numFmtId="44" fontId="0" fillId="3" borderId="9" xfId="1" applyFont="1" applyFill="1" applyBorder="1"/>
    <xf numFmtId="44" fontId="0" fillId="3" borderId="12" xfId="1" applyFont="1" applyFill="1" applyBorder="1"/>
    <xf numFmtId="44" fontId="0" fillId="0" borderId="24" xfId="0" applyNumberFormat="1" applyBorder="1"/>
    <xf numFmtId="0" fontId="15" fillId="0" borderId="0" xfId="0" applyFont="1" applyBorder="1"/>
    <xf numFmtId="0" fontId="12" fillId="0" borderId="53" xfId="0" applyFont="1" applyBorder="1"/>
    <xf numFmtId="44" fontId="12" fillId="0" borderId="54" xfId="0" applyNumberFormat="1" applyFont="1" applyBorder="1"/>
    <xf numFmtId="44" fontId="12" fillId="0" borderId="54" xfId="1" applyFont="1" applyBorder="1"/>
    <xf numFmtId="0" fontId="17" fillId="0" borderId="62" xfId="0" applyFont="1" applyBorder="1"/>
    <xf numFmtId="44" fontId="17" fillId="0" borderId="61" xfId="1" applyFont="1" applyBorder="1"/>
    <xf numFmtId="44" fontId="17" fillId="3" borderId="61" xfId="1" applyFont="1" applyFill="1" applyBorder="1"/>
    <xf numFmtId="0" fontId="17" fillId="0" borderId="20" xfId="0" applyFont="1" applyBorder="1"/>
    <xf numFmtId="44" fontId="17" fillId="0" borderId="16" xfId="1" applyFont="1" applyBorder="1"/>
    <xf numFmtId="44" fontId="17" fillId="3" borderId="16" xfId="1" applyFont="1" applyFill="1" applyBorder="1"/>
    <xf numFmtId="0" fontId="0" fillId="0" borderId="64" xfId="0" applyBorder="1"/>
    <xf numFmtId="44" fontId="0" fillId="0" borderId="63" xfId="1" applyFont="1" applyBorder="1"/>
    <xf numFmtId="44" fontId="0" fillId="3" borderId="63" xfId="1" applyFont="1" applyFill="1" applyBorder="1"/>
    <xf numFmtId="0" fontId="19" fillId="0" borderId="24" xfId="0" applyFont="1" applyBorder="1"/>
    <xf numFmtId="0" fontId="0" fillId="0" borderId="65" xfId="0" applyBorder="1"/>
    <xf numFmtId="44" fontId="0" fillId="0" borderId="22" xfId="1" applyFont="1" applyBorder="1"/>
    <xf numFmtId="0" fontId="21" fillId="0" borderId="24" xfId="0" applyFont="1" applyBorder="1"/>
    <xf numFmtId="0" fontId="18" fillId="0" borderId="24" xfId="0" applyFont="1" applyBorder="1"/>
    <xf numFmtId="44" fontId="18" fillId="0" borderId="24" xfId="0" applyNumberFormat="1" applyFont="1" applyBorder="1"/>
    <xf numFmtId="0" fontId="22" fillId="0" borderId="24" xfId="0" applyFont="1" applyFill="1" applyBorder="1"/>
    <xf numFmtId="44" fontId="22" fillId="0" borderId="24" xfId="1" applyFont="1" applyFill="1" applyBorder="1"/>
    <xf numFmtId="44" fontId="0" fillId="0" borderId="26" xfId="1" applyFont="1" applyBorder="1"/>
    <xf numFmtId="0" fontId="0" fillId="0" borderId="57" xfId="0" applyBorder="1"/>
    <xf numFmtId="0" fontId="0" fillId="0" borderId="66" xfId="0" applyBorder="1"/>
    <xf numFmtId="0" fontId="2" fillId="0" borderId="9" xfId="0" applyFont="1" applyBorder="1"/>
    <xf numFmtId="0" fontId="2" fillId="0" borderId="16" xfId="0" applyFont="1" applyBorder="1"/>
    <xf numFmtId="0" fontId="0" fillId="0" borderId="69" xfId="0" applyBorder="1"/>
    <xf numFmtId="0" fontId="12" fillId="0" borderId="19" xfId="0" applyFont="1" applyBorder="1"/>
    <xf numFmtId="6" fontId="0" fillId="0" borderId="0" xfId="0" applyNumberFormat="1"/>
    <xf numFmtId="0" fontId="0" fillId="3" borderId="13" xfId="0" applyFill="1" applyBorder="1" applyAlignment="1">
      <alignment horizontal="left"/>
    </xf>
    <xf numFmtId="0" fontId="0" fillId="3" borderId="67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68" xfId="0" applyFill="1" applyBorder="1" applyAlignment="1">
      <alignment horizontal="left"/>
    </xf>
    <xf numFmtId="0" fontId="20" fillId="0" borderId="24" xfId="3" applyBorder="1" applyAlignment="1">
      <alignment horizontal="center"/>
    </xf>
    <xf numFmtId="164" fontId="0" fillId="2" borderId="10" xfId="2" applyNumberFormat="1" applyFont="1" applyFill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52">
    <dxf>
      <font>
        <color rgb="FFC00000"/>
      </font>
    </dxf>
    <dxf>
      <fill>
        <patternFill>
          <bgColor theme="8" tint="0.79998168889431442"/>
        </patternFill>
      </fill>
    </dxf>
    <dxf>
      <font>
        <color theme="2" tint="-0.499984740745262"/>
      </font>
    </dxf>
    <dxf>
      <fill>
        <patternFill>
          <bgColor theme="8" tint="0.79998168889431442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rgb="FFC00000"/>
      </font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C00000"/>
      </font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IncTable" displayName="IncTable" ref="A8:C16" totalsRowShown="0">
  <autoFilter ref="A8:C16" xr:uid="{00000000-0009-0000-0100-000003000000}"/>
  <tableColumns count="3">
    <tableColumn id="1" xr3:uid="{00000000-0010-0000-0000-000001000000}" name="Household Size"/>
    <tableColumn id="2" xr3:uid="{00000000-0010-0000-0000-000002000000}" name="80%"/>
    <tableColumn id="3" xr3:uid="{00000000-0010-0000-0000-000003000000}" name="100%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EVF80YXknFg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zoomScaleNormal="100" workbookViewId="0"/>
  </sheetViews>
  <sheetFormatPr defaultRowHeight="15" x14ac:dyDescent="0.25"/>
  <cols>
    <col min="1" max="1" width="29.28515625" style="3" customWidth="1"/>
    <col min="2" max="3" width="16.85546875" style="3" customWidth="1"/>
    <col min="4" max="4" width="16.7109375" style="3" hidden="1" customWidth="1"/>
    <col min="5" max="5" width="2.7109375" style="3" customWidth="1"/>
    <col min="6" max="6" width="18.140625" style="3" customWidth="1"/>
    <col min="7" max="13" width="13.7109375" style="3" customWidth="1"/>
    <col min="14" max="14" width="13" style="3" customWidth="1"/>
    <col min="15" max="16384" width="9.140625" style="3"/>
  </cols>
  <sheetData>
    <row r="1" spans="1:22" x14ac:dyDescent="0.25">
      <c r="A1" s="59" t="s">
        <v>58</v>
      </c>
      <c r="B1" s="140" t="s">
        <v>88</v>
      </c>
      <c r="C1" s="140"/>
      <c r="D1" s="50"/>
      <c r="E1" s="36"/>
      <c r="F1" s="63" t="s">
        <v>62</v>
      </c>
      <c r="G1" s="36" t="s">
        <v>59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5" customHeight="1" x14ac:dyDescent="0.25">
      <c r="A2" s="49"/>
      <c r="B2" s="49"/>
      <c r="C2" s="49"/>
      <c r="D2" s="50"/>
      <c r="E2" s="36"/>
      <c r="F2" s="120"/>
      <c r="G2" s="36" t="s">
        <v>64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5" customHeight="1" x14ac:dyDescent="0.25">
      <c r="A3" s="131" t="s">
        <v>92</v>
      </c>
      <c r="B3" s="136"/>
      <c r="C3" s="137"/>
      <c r="D3" s="43"/>
      <c r="E3" s="36"/>
      <c r="F3" s="36"/>
      <c r="G3" s="36"/>
      <c r="H3" s="36"/>
      <c r="I3" s="36"/>
      <c r="J3" s="36"/>
      <c r="K3" s="36"/>
      <c r="L3" s="38"/>
      <c r="M3" s="38"/>
      <c r="N3" s="38"/>
      <c r="O3" s="36"/>
      <c r="P3" s="36"/>
      <c r="Q3" s="36"/>
      <c r="R3" s="36"/>
      <c r="S3" s="36"/>
      <c r="T3" s="36"/>
      <c r="U3" s="36"/>
      <c r="V3" s="36"/>
    </row>
    <row r="4" spans="1:22" ht="15" customHeight="1" x14ac:dyDescent="0.25">
      <c r="A4" s="132" t="s">
        <v>91</v>
      </c>
      <c r="B4" s="138"/>
      <c r="C4" s="139"/>
      <c r="D4" s="129"/>
      <c r="E4" s="130"/>
      <c r="F4" s="58" t="s">
        <v>63</v>
      </c>
      <c r="G4" s="36" t="s">
        <v>60</v>
      </c>
      <c r="H4" s="36"/>
      <c r="I4" s="36"/>
      <c r="J4" s="36"/>
      <c r="K4" s="36"/>
      <c r="L4" s="36"/>
      <c r="M4" s="36"/>
      <c r="N4" s="36"/>
      <c r="O4" s="57"/>
      <c r="P4" s="35"/>
      <c r="Q4" s="35"/>
      <c r="R4" s="35"/>
      <c r="S4" s="35"/>
      <c r="T4" s="35"/>
      <c r="U4" s="35"/>
      <c r="V4" s="36"/>
    </row>
    <row r="5" spans="1:22" ht="15" customHeight="1" x14ac:dyDescent="0.25">
      <c r="A5" s="32"/>
      <c r="B5" s="62" t="s">
        <v>49</v>
      </c>
      <c r="C5" s="62" t="s">
        <v>52</v>
      </c>
      <c r="D5" s="7" t="s">
        <v>22</v>
      </c>
      <c r="E5" s="130"/>
      <c r="F5" s="36"/>
      <c r="G5" s="36" t="s">
        <v>61</v>
      </c>
      <c r="H5" s="133"/>
      <c r="I5" s="133"/>
      <c r="J5" s="133"/>
      <c r="K5" s="133"/>
      <c r="L5" s="133"/>
      <c r="M5" s="133"/>
      <c r="N5" s="133"/>
      <c r="O5" s="57"/>
      <c r="P5" s="35"/>
      <c r="Q5" s="35"/>
      <c r="R5" s="35"/>
      <c r="S5" s="35"/>
      <c r="T5" s="35"/>
      <c r="U5" s="35"/>
      <c r="V5" s="36"/>
    </row>
    <row r="6" spans="1:22" x14ac:dyDescent="0.25">
      <c r="A6" s="23" t="s">
        <v>65</v>
      </c>
      <c r="B6" s="17"/>
      <c r="C6" s="22"/>
      <c r="D6" s="29">
        <f>IF(C6="", B6, C6)</f>
        <v>0</v>
      </c>
      <c r="E6" s="56"/>
      <c r="F6" s="64" t="s">
        <v>40</v>
      </c>
      <c r="G6" s="52"/>
      <c r="H6" s="52"/>
      <c r="I6" s="52"/>
      <c r="J6" s="52"/>
      <c r="K6" s="52"/>
      <c r="L6" s="52"/>
      <c r="M6" s="52"/>
      <c r="N6" s="65"/>
      <c r="O6" s="57"/>
      <c r="P6" s="35"/>
      <c r="Q6" s="35"/>
      <c r="R6" s="35"/>
      <c r="S6" s="35"/>
      <c r="T6" s="35"/>
      <c r="U6" s="35"/>
      <c r="V6" s="36"/>
    </row>
    <row r="7" spans="1:22" x14ac:dyDescent="0.25">
      <c r="A7" s="23" t="s">
        <v>66</v>
      </c>
      <c r="B7" s="17">
        <f>D6</f>
        <v>0</v>
      </c>
      <c r="C7" s="24"/>
      <c r="D7" s="29">
        <f>IF(C7="", B7, C7)</f>
        <v>0</v>
      </c>
      <c r="E7" s="48"/>
      <c r="F7" s="66" t="s">
        <v>29</v>
      </c>
      <c r="G7" s="70">
        <v>2.5000000000000001E-3</v>
      </c>
      <c r="H7" s="70">
        <v>5.0000000000000001E-3</v>
      </c>
      <c r="I7" s="70">
        <v>7.4999999999999997E-3</v>
      </c>
      <c r="J7" s="70">
        <v>0.01</v>
      </c>
      <c r="K7" s="70">
        <v>1.2500000000000001E-2</v>
      </c>
      <c r="L7" s="70">
        <v>1.4999999999999999E-2</v>
      </c>
      <c r="M7" s="70">
        <v>1.7500000000000002E-2</v>
      </c>
      <c r="N7" s="71">
        <v>0.02</v>
      </c>
      <c r="O7" s="50"/>
      <c r="P7" s="36"/>
      <c r="Q7" s="36"/>
      <c r="R7" s="36"/>
      <c r="S7" s="36"/>
      <c r="T7" s="36"/>
      <c r="U7" s="36"/>
      <c r="V7" s="36"/>
    </row>
    <row r="8" spans="1:22" x14ac:dyDescent="0.25">
      <c r="A8" s="23" t="s">
        <v>17</v>
      </c>
      <c r="B8" s="16"/>
      <c r="C8" s="21"/>
      <c r="D8" s="7">
        <f>MIN(IF(C8="", B8, C8), 8)</f>
        <v>8</v>
      </c>
      <c r="E8" s="48"/>
      <c r="F8" s="8" t="s">
        <v>30</v>
      </c>
      <c r="G8" s="5">
        <f t="shared" ref="G8:N8" si="0">PMT(($D$24-G7)/12, 360, -$D$22, 0)</f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10">
        <f t="shared" si="0"/>
        <v>0</v>
      </c>
      <c r="O8" s="50"/>
      <c r="P8" s="36"/>
      <c r="Q8" s="36"/>
      <c r="R8" s="36"/>
      <c r="S8" s="36"/>
      <c r="T8" s="36"/>
      <c r="U8" s="36"/>
      <c r="V8" s="36"/>
    </row>
    <row r="9" spans="1:22" x14ac:dyDescent="0.25">
      <c r="A9" s="23" t="s">
        <v>76</v>
      </c>
      <c r="B9" s="16"/>
      <c r="C9" s="22"/>
      <c r="D9" s="29">
        <f>C9</f>
        <v>0</v>
      </c>
      <c r="E9" s="48"/>
      <c r="F9" s="8" t="s">
        <v>31</v>
      </c>
      <c r="G9" s="5">
        <f t="shared" ref="G9:N9" si="1">$D$25-G8</f>
        <v>0</v>
      </c>
      <c r="H9" s="6">
        <f t="shared" si="1"/>
        <v>0</v>
      </c>
      <c r="I9" s="6">
        <f t="shared" si="1"/>
        <v>0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11">
        <f t="shared" si="1"/>
        <v>0</v>
      </c>
      <c r="O9" s="50"/>
      <c r="P9" s="36"/>
      <c r="Q9" s="36"/>
      <c r="R9" s="36"/>
      <c r="S9" s="36"/>
      <c r="T9" s="36"/>
      <c r="U9" s="36"/>
      <c r="V9" s="36"/>
    </row>
    <row r="10" spans="1:22" x14ac:dyDescent="0.25">
      <c r="A10" s="23" t="s">
        <v>67</v>
      </c>
      <c r="B10" s="16"/>
      <c r="C10" s="21"/>
      <c r="D10" s="79" t="str">
        <f>IF(C10="", "", C10)</f>
        <v/>
      </c>
      <c r="E10" s="48"/>
      <c r="F10" s="8" t="s">
        <v>32</v>
      </c>
      <c r="G10" s="5">
        <f t="shared" ref="G10:N10" si="2">$D$25-PMT(($D$24-(G7*0.75))/12, 360, -$D$22, 0)</f>
        <v>0</v>
      </c>
      <c r="H10" s="5">
        <f t="shared" si="2"/>
        <v>0</v>
      </c>
      <c r="I10" s="5">
        <f t="shared" si="2"/>
        <v>0</v>
      </c>
      <c r="J10" s="5">
        <f t="shared" si="2"/>
        <v>0</v>
      </c>
      <c r="K10" s="5">
        <f t="shared" si="2"/>
        <v>0</v>
      </c>
      <c r="L10" s="5">
        <f t="shared" si="2"/>
        <v>0</v>
      </c>
      <c r="M10" s="5">
        <f t="shared" si="2"/>
        <v>0</v>
      </c>
      <c r="N10" s="10">
        <f t="shared" si="2"/>
        <v>0</v>
      </c>
      <c r="O10" s="50"/>
      <c r="P10" s="36"/>
      <c r="Q10" s="36"/>
      <c r="R10" s="36"/>
      <c r="S10" s="36"/>
      <c r="T10" s="36"/>
      <c r="U10" s="36"/>
      <c r="V10" s="36"/>
    </row>
    <row r="11" spans="1:22" x14ac:dyDescent="0.25">
      <c r="A11" s="23" t="s">
        <v>6</v>
      </c>
      <c r="B11" s="17"/>
      <c r="C11" s="22"/>
      <c r="D11" s="29">
        <f t="shared" ref="D11:D16" si="3">IF(C11="", B11, C11)</f>
        <v>0</v>
      </c>
      <c r="E11" s="48"/>
      <c r="F11" s="8" t="s">
        <v>33</v>
      </c>
      <c r="G11" s="5">
        <f t="shared" ref="G11:N11" si="4">$D$25-PMT(($D$24-(G7*0.5))/12, 360, -$D$22, 0)</f>
        <v>0</v>
      </c>
      <c r="H11" s="5">
        <f t="shared" si="4"/>
        <v>0</v>
      </c>
      <c r="I11" s="5">
        <f t="shared" si="4"/>
        <v>0</v>
      </c>
      <c r="J11" s="5">
        <f t="shared" si="4"/>
        <v>0</v>
      </c>
      <c r="K11" s="5">
        <f t="shared" si="4"/>
        <v>0</v>
      </c>
      <c r="L11" s="5">
        <f t="shared" si="4"/>
        <v>0</v>
      </c>
      <c r="M11" s="5">
        <f t="shared" si="4"/>
        <v>0</v>
      </c>
      <c r="N11" s="10">
        <f t="shared" si="4"/>
        <v>0</v>
      </c>
      <c r="O11" s="50"/>
      <c r="P11" s="36"/>
      <c r="Q11" s="36"/>
      <c r="R11" s="36"/>
      <c r="S11" s="36"/>
      <c r="T11" s="36"/>
      <c r="U11" s="36"/>
      <c r="V11" s="36"/>
    </row>
    <row r="12" spans="1:22" x14ac:dyDescent="0.25">
      <c r="A12" s="23" t="s">
        <v>16</v>
      </c>
      <c r="B12" s="16"/>
      <c r="C12" s="21"/>
      <c r="D12" s="7">
        <f t="shared" si="3"/>
        <v>0</v>
      </c>
      <c r="E12" s="48"/>
      <c r="F12" s="8" t="s">
        <v>34</v>
      </c>
      <c r="G12" s="5">
        <f t="shared" ref="G12:N12" si="5">$D$25-PMT(($D$24-(G7*0.25))/12, 360, -$D$22, 0)</f>
        <v>0</v>
      </c>
      <c r="H12" s="5">
        <f t="shared" si="5"/>
        <v>0</v>
      </c>
      <c r="I12" s="5">
        <f t="shared" si="5"/>
        <v>0</v>
      </c>
      <c r="J12" s="5">
        <f t="shared" si="5"/>
        <v>0</v>
      </c>
      <c r="K12" s="5">
        <f t="shared" si="5"/>
        <v>0</v>
      </c>
      <c r="L12" s="5">
        <f t="shared" si="5"/>
        <v>0</v>
      </c>
      <c r="M12" s="5">
        <f t="shared" si="5"/>
        <v>0</v>
      </c>
      <c r="N12" s="10">
        <f t="shared" si="5"/>
        <v>0</v>
      </c>
      <c r="O12" s="50"/>
      <c r="P12" s="36"/>
      <c r="Q12" s="36"/>
      <c r="R12" s="36"/>
      <c r="S12" s="36"/>
      <c r="T12" s="36"/>
      <c r="U12" s="36"/>
      <c r="V12" s="36"/>
    </row>
    <row r="13" spans="1:22" x14ac:dyDescent="0.25">
      <c r="A13" s="27" t="s">
        <v>0</v>
      </c>
      <c r="B13" s="34"/>
      <c r="C13" s="101"/>
      <c r="D13" s="29">
        <f t="shared" si="3"/>
        <v>0</v>
      </c>
      <c r="E13" s="48"/>
      <c r="F13" s="8"/>
      <c r="G13" s="5"/>
      <c r="N13" s="12"/>
      <c r="O13" s="50"/>
      <c r="P13" s="36"/>
      <c r="Q13" s="36"/>
      <c r="R13" s="36"/>
      <c r="S13" s="36"/>
      <c r="T13" s="36"/>
      <c r="U13" s="36"/>
      <c r="V13" s="36"/>
    </row>
    <row r="14" spans="1:22" x14ac:dyDescent="0.25">
      <c r="A14" s="32" t="s">
        <v>8</v>
      </c>
      <c r="B14" s="103">
        <f>IF(D12="Three-Family", D13*0.03, D13*0.015)</f>
        <v>0</v>
      </c>
      <c r="C14" s="104"/>
      <c r="D14" s="29">
        <f t="shared" si="3"/>
        <v>0</v>
      </c>
      <c r="E14" s="48"/>
      <c r="F14" s="8" t="s">
        <v>35</v>
      </c>
      <c r="G14" s="5">
        <f t="shared" ref="G14:N14" si="6">SUM(G9*48, G10*12, G11*12, G12*12)</f>
        <v>0</v>
      </c>
      <c r="H14" s="5">
        <f t="shared" si="6"/>
        <v>0</v>
      </c>
      <c r="I14" s="5">
        <f t="shared" si="6"/>
        <v>0</v>
      </c>
      <c r="J14" s="5">
        <f t="shared" si="6"/>
        <v>0</v>
      </c>
      <c r="K14" s="5">
        <f t="shared" si="6"/>
        <v>0</v>
      </c>
      <c r="L14" s="5">
        <f t="shared" si="6"/>
        <v>0</v>
      </c>
      <c r="M14" s="5">
        <f t="shared" si="6"/>
        <v>0</v>
      </c>
      <c r="N14" s="10">
        <f t="shared" si="6"/>
        <v>0</v>
      </c>
      <c r="O14" s="50"/>
      <c r="P14" s="36"/>
      <c r="Q14" s="36"/>
      <c r="R14" s="36"/>
      <c r="S14" s="36"/>
      <c r="T14" s="36"/>
      <c r="U14" s="36"/>
      <c r="V14" s="36"/>
    </row>
    <row r="15" spans="1:22" x14ac:dyDescent="0.25">
      <c r="A15" s="23" t="s">
        <v>89</v>
      </c>
      <c r="B15" s="17">
        <f>IF(D12="Three-Family", D13*0.02, D13*0.015)</f>
        <v>0</v>
      </c>
      <c r="C15" s="24"/>
      <c r="D15" s="29">
        <f t="shared" si="3"/>
        <v>0</v>
      </c>
      <c r="E15" s="48"/>
      <c r="F15" s="8" t="s">
        <v>36</v>
      </c>
      <c r="G15" s="5">
        <f>NPV(0.53/100/12, G9,G9,G9,G9,G9,G9,G9,G9,G9,G9,G9,G9,G9,G9,G9,G9,G9,G9,G9,G9,G9,G9,G9,G9,G9,G9,G9,G9,G9,G9,G9,G9,G9,G9,G9,G9,G9,G9,G9,G9,G9,G9,G9,G9,G9,G9,G9,G9,G10,G10,G10,G10,G10,G10,G10,G10,G10,G10,G10,G10,G11,G11,G11,G11,G11,G11,G11,G11,G11,G11,G11,G11,G12,G12,G12,G12,G12,G12,G12,G12,G12,G12,G12,G12)</f>
        <v>0</v>
      </c>
      <c r="H15" s="5">
        <f t="shared" ref="H15:N15" si="7">NPV(0.53/100/12, H9,H9,H9,H9,H9,H9,H9,H9,H9,H9,H9,H9,H9,H9,H9,H9,H9,H9,H9,H9,H9,H9,H9,H9,H9,H9,H9,H9,H9,H9,H9,H9,H9,H9,H9,H9,H9,H9,H9,H9,H9,H9,H9,H9,H9,H9,H9,H9,H10,H10,H10,H10,H10,H10,H10,H10,H10,H10,H10,H10,H11,H11,H11,H11,H11,H11,H11,H11,H11,H11,H11,H11,H12,H12,H12,H12,H12,H12,H12,H12,H12,H12,H12,H12)</f>
        <v>0</v>
      </c>
      <c r="I15" s="5">
        <f t="shared" si="7"/>
        <v>0</v>
      </c>
      <c r="J15" s="5">
        <f t="shared" si="7"/>
        <v>0</v>
      </c>
      <c r="K15" s="5">
        <f t="shared" si="7"/>
        <v>0</v>
      </c>
      <c r="L15" s="5">
        <f t="shared" si="7"/>
        <v>0</v>
      </c>
      <c r="M15" s="5">
        <f t="shared" si="7"/>
        <v>0</v>
      </c>
      <c r="N15" s="10">
        <f t="shared" si="7"/>
        <v>0</v>
      </c>
      <c r="O15" s="50"/>
      <c r="P15" s="36"/>
      <c r="Q15" s="36"/>
      <c r="R15" s="36"/>
      <c r="S15" s="36"/>
      <c r="T15" s="36"/>
      <c r="U15" s="36"/>
      <c r="V15" s="36"/>
    </row>
    <row r="16" spans="1:22" x14ac:dyDescent="0.25">
      <c r="A16" s="27" t="s">
        <v>78</v>
      </c>
      <c r="B16" s="34">
        <v>0</v>
      </c>
      <c r="C16" s="105"/>
      <c r="D16" s="29">
        <f t="shared" si="3"/>
        <v>0</v>
      </c>
      <c r="E16" s="48"/>
      <c r="F16" s="8" t="s">
        <v>37</v>
      </c>
      <c r="G16" s="5">
        <f t="shared" ref="G16:N16" si="8">SUM(G15,$B$45)</f>
        <v>0</v>
      </c>
      <c r="H16" s="5">
        <f t="shared" si="8"/>
        <v>0</v>
      </c>
      <c r="I16" s="5">
        <f t="shared" si="8"/>
        <v>0</v>
      </c>
      <c r="J16" s="5">
        <f t="shared" si="8"/>
        <v>0</v>
      </c>
      <c r="K16" s="5">
        <f t="shared" si="8"/>
        <v>0</v>
      </c>
      <c r="L16" s="5">
        <f t="shared" si="8"/>
        <v>0</v>
      </c>
      <c r="M16" s="5">
        <f t="shared" si="8"/>
        <v>0</v>
      </c>
      <c r="N16" s="10">
        <f t="shared" si="8"/>
        <v>0</v>
      </c>
      <c r="O16" s="50"/>
      <c r="P16" s="36"/>
      <c r="Q16" s="36"/>
      <c r="R16" s="36"/>
      <c r="S16" s="36"/>
      <c r="T16" s="36"/>
      <c r="U16" s="36"/>
      <c r="V16" s="36"/>
    </row>
    <row r="17" spans="1:22" x14ac:dyDescent="0.25">
      <c r="A17" s="111" t="s">
        <v>7</v>
      </c>
      <c r="B17" s="112">
        <f>IF(D22=Config!B19, D13-D22, SUM(D14:D16))</f>
        <v>0</v>
      </c>
      <c r="C17" s="113"/>
      <c r="D17" s="29">
        <f>IF(C17="", SUM(D14:D16), C17)</f>
        <v>0</v>
      </c>
      <c r="E17" s="48"/>
      <c r="F17" s="8"/>
      <c r="N17" s="12"/>
      <c r="O17" s="50"/>
      <c r="P17" s="36"/>
      <c r="Q17" s="36"/>
      <c r="R17" s="36"/>
      <c r="S17" s="36"/>
      <c r="T17" s="36"/>
      <c r="U17" s="36"/>
      <c r="V17" s="36"/>
    </row>
    <row r="18" spans="1:22" x14ac:dyDescent="0.25">
      <c r="A18" s="60" t="s">
        <v>77</v>
      </c>
      <c r="B18" s="61">
        <f>0.02*$D$13-C20-C19</f>
        <v>0</v>
      </c>
      <c r="C18" s="102"/>
      <c r="D18" s="29">
        <f>IF(C18="", B18, C18)</f>
        <v>0</v>
      </c>
      <c r="E18" s="48"/>
      <c r="F18" s="8" t="s">
        <v>38</v>
      </c>
      <c r="G18" s="4">
        <f t="shared" ref="G18:N18" si="9">IFERROR(ROUND(SUM(G8,$D$28,$D$29,$D$30)/(($D$7/12)+(0.75*SUM($D$32:$D$33))), 4), 0)</f>
        <v>0</v>
      </c>
      <c r="H18" s="4">
        <f t="shared" si="9"/>
        <v>0</v>
      </c>
      <c r="I18" s="4">
        <f t="shared" si="9"/>
        <v>0</v>
      </c>
      <c r="J18" s="4">
        <f t="shared" si="9"/>
        <v>0</v>
      </c>
      <c r="K18" s="4">
        <f t="shared" si="9"/>
        <v>0</v>
      </c>
      <c r="L18" s="4">
        <f t="shared" si="9"/>
        <v>0</v>
      </c>
      <c r="M18" s="4">
        <f t="shared" si="9"/>
        <v>0</v>
      </c>
      <c r="N18" s="9">
        <f t="shared" si="9"/>
        <v>0</v>
      </c>
      <c r="O18" s="50"/>
      <c r="P18" s="36"/>
      <c r="Q18" s="36"/>
      <c r="R18" s="36"/>
      <c r="S18" s="36"/>
      <c r="T18" s="36"/>
      <c r="U18" s="36"/>
      <c r="V18" s="36"/>
    </row>
    <row r="19" spans="1:22" x14ac:dyDescent="0.25">
      <c r="A19" s="27" t="s">
        <v>79</v>
      </c>
      <c r="B19" s="34">
        <v>0</v>
      </c>
      <c r="C19" s="105"/>
      <c r="D19" s="29">
        <f>IF(C19="", B19, C19)</f>
        <v>0</v>
      </c>
      <c r="E19" s="48"/>
      <c r="F19" s="13" t="s">
        <v>39</v>
      </c>
      <c r="G19" s="14">
        <f t="shared" ref="G19:M19" si="10">IFERROR(ROUND(SUM(G8,$D$28,$D$29,$D$30, $D$11)/(($D$7/12)+(0.75*SUM($D$32:$D$33))), 4), 0)</f>
        <v>0</v>
      </c>
      <c r="H19" s="14">
        <f t="shared" si="10"/>
        <v>0</v>
      </c>
      <c r="I19" s="14">
        <f t="shared" si="10"/>
        <v>0</v>
      </c>
      <c r="J19" s="14">
        <f t="shared" si="10"/>
        <v>0</v>
      </c>
      <c r="K19" s="14">
        <f t="shared" si="10"/>
        <v>0</v>
      </c>
      <c r="L19" s="14">
        <f t="shared" si="10"/>
        <v>0</v>
      </c>
      <c r="M19" s="14">
        <f t="shared" si="10"/>
        <v>0</v>
      </c>
      <c r="N19" s="15">
        <f>IFERROR(ROUND(SUM(N8,$D$28,$D$29,$D$30,$D$11)/(($D$7/12)+(0.75*SUM($D$32:$D$33))),4),0)</f>
        <v>0</v>
      </c>
      <c r="O19" s="50"/>
      <c r="P19" s="36"/>
      <c r="Q19" s="36"/>
      <c r="R19" s="36"/>
      <c r="S19" s="36"/>
      <c r="T19" s="36"/>
      <c r="U19" s="36"/>
      <c r="V19" s="36"/>
    </row>
    <row r="20" spans="1:22" x14ac:dyDescent="0.25">
      <c r="A20" s="117" t="s">
        <v>87</v>
      </c>
      <c r="B20" s="118">
        <v>0</v>
      </c>
      <c r="C20" s="119"/>
      <c r="D20" s="29">
        <f>IF(C20="", B20, C20)</f>
        <v>0</v>
      </c>
      <c r="E20" s="42"/>
      <c r="F20" s="49"/>
      <c r="G20" s="49"/>
      <c r="H20" s="49"/>
      <c r="I20" s="35"/>
      <c r="J20" s="49"/>
      <c r="K20" s="49"/>
      <c r="L20" s="49"/>
      <c r="M20" s="35"/>
      <c r="N20" s="35"/>
      <c r="O20" s="36"/>
      <c r="P20" s="36"/>
      <c r="Q20" s="36"/>
      <c r="R20" s="36"/>
      <c r="S20" s="36"/>
      <c r="T20" s="36"/>
      <c r="U20" s="36"/>
      <c r="V20" s="36"/>
    </row>
    <row r="21" spans="1:22" ht="14.25" customHeight="1" x14ac:dyDescent="0.25">
      <c r="A21" s="114" t="s">
        <v>81</v>
      </c>
      <c r="B21" s="115">
        <f>SUM(D18:D20)</f>
        <v>0</v>
      </c>
      <c r="C21" s="116"/>
      <c r="D21" s="29">
        <f>SUM(D18:D20)</f>
        <v>0</v>
      </c>
      <c r="E21" s="48"/>
      <c r="F21" s="64" t="s">
        <v>70</v>
      </c>
      <c r="G21" s="52"/>
      <c r="H21" s="81"/>
      <c r="I21" s="121"/>
      <c r="J21" s="123" t="s">
        <v>86</v>
      </c>
      <c r="K21" s="124"/>
      <c r="L21" s="124"/>
      <c r="M21" s="50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14.25" customHeight="1" x14ac:dyDescent="0.25">
      <c r="A22" s="60" t="s">
        <v>1</v>
      </c>
      <c r="B22" s="61">
        <f>MIN(D13-D17,Config!B19)</f>
        <v>0</v>
      </c>
      <c r="C22" s="102"/>
      <c r="D22" s="29">
        <f t="shared" ref="D22:D33" si="11">IF(C22="", B22, C22)</f>
        <v>0</v>
      </c>
      <c r="E22" s="48"/>
      <c r="F22" s="83" t="s">
        <v>69</v>
      </c>
      <c r="G22" s="82"/>
      <c r="H22" s="87">
        <f>50000-$B$53</f>
        <v>50000</v>
      </c>
      <c r="I22" s="121"/>
      <c r="J22" s="124" t="s">
        <v>80</v>
      </c>
      <c r="K22" s="124"/>
      <c r="L22" s="125">
        <f>D13+D21-D22-D16-D14</f>
        <v>0</v>
      </c>
      <c r="M22" s="50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14.25" customHeight="1" x14ac:dyDescent="0.25">
      <c r="A23" s="23" t="s">
        <v>23</v>
      </c>
      <c r="B23" s="18">
        <v>4.6249999999999999E-2</v>
      </c>
      <c r="C23" s="141"/>
      <c r="D23" s="30">
        <f t="shared" si="11"/>
        <v>4.6249999999999999E-2</v>
      </c>
      <c r="E23" s="48"/>
      <c r="F23" s="108" t="s">
        <v>84</v>
      </c>
      <c r="G23" s="107"/>
      <c r="H23" s="109">
        <f>ROUND(($D$22+$D$15+$H$22)/IF($D$12="Three-Family", 0.97, 0.985),2)</f>
        <v>50761.42</v>
      </c>
      <c r="I23" s="121"/>
      <c r="J23" s="124" t="s">
        <v>82</v>
      </c>
      <c r="K23" s="124"/>
      <c r="L23" s="125">
        <f>D9-IF(D12="Three-Family", D13*0.03, D13*0.015)-(SUM(D25,D28,D29,D30)*6)</f>
        <v>0</v>
      </c>
      <c r="M23" s="50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14.25" customHeight="1" x14ac:dyDescent="0.25">
      <c r="A24" s="23" t="s">
        <v>54</v>
      </c>
      <c r="B24" s="18">
        <f>IF(D36="Under 80% AMI",D23-0.01,IF(D36="Under 100% AMI",D23-0.005,D23))</f>
        <v>3.6249999999999998E-2</v>
      </c>
      <c r="C24" s="25"/>
      <c r="D24" s="30">
        <f t="shared" si="11"/>
        <v>3.6249999999999998E-2</v>
      </c>
      <c r="E24" s="48"/>
      <c r="F24" s="108" t="s">
        <v>85</v>
      </c>
      <c r="G24" s="107"/>
      <c r="H24" s="110">
        <f>ROUND(IF($D$12="Three-Family", 0.03*$H$23, 0.015*$H$23), 2)</f>
        <v>761.42</v>
      </c>
      <c r="I24" s="121"/>
      <c r="J24" s="126" t="s">
        <v>83</v>
      </c>
      <c r="K24" s="124"/>
      <c r="L24" s="127">
        <f>L22-L23</f>
        <v>0</v>
      </c>
      <c r="M24" s="50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14.25" customHeight="1" x14ac:dyDescent="0.25">
      <c r="A25" s="23" t="s">
        <v>53</v>
      </c>
      <c r="B25" s="17">
        <f>PMT(D24/12, 360, -D22, 0, 0)</f>
        <v>0</v>
      </c>
      <c r="C25" s="24"/>
      <c r="D25" s="29">
        <f t="shared" si="11"/>
        <v>0</v>
      </c>
      <c r="E25" s="48"/>
      <c r="F25" s="108" t="s">
        <v>89</v>
      </c>
      <c r="G25" s="107"/>
      <c r="H25" s="110">
        <f>$D$15+$H$22</f>
        <v>50000</v>
      </c>
      <c r="I25" s="50"/>
      <c r="J25" s="122"/>
      <c r="K25" s="35"/>
      <c r="L25" s="35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4.25" customHeight="1" x14ac:dyDescent="0.25">
      <c r="A26" s="23" t="s">
        <v>10</v>
      </c>
      <c r="B26" s="17">
        <f>IFERROR(IF(D12="Three-Family", 0, IF(OR(B36="Under 100% AMI",B36="Over Income"), 0, ROUND(IF(AND(N18&gt;=Config!B24, N16&lt;=12000, D17&lt;(0.2*D13)), N9, IF(AND(M18&gt;=Config!B24, M16&lt;=12000, D17&lt;(0.2*D13)), M9, IF(AND(L18&gt;=Config!B24, L16&lt;=12000, D17&lt;(0.2*D13)), L9, IF(AND(K18&gt;=Config!B24, K16&lt;=12000, D17&lt;(0.2*D13)),K9, IF(AND(J18&gt;=Config!B24, J16&lt;=12000, D17&lt;(0.2*D13)),J9, IF(AND(I18&gt;=Config!B24, I16&lt;=12000, D17&lt;(0.2*D13)),I9, IF(AND(H18&gt;=Config!B24, H16&lt;=12000, D17&lt;(0.2*D13)),H9, IF(AND(G18&gt;=Config!B24, G16&lt;=12000, D17&lt;(0.2*D13)), G9, 0)))))))), 2))), "")</f>
        <v>0</v>
      </c>
      <c r="C26" s="24"/>
      <c r="D26" s="29">
        <f t="shared" si="11"/>
        <v>0</v>
      </c>
      <c r="E26" s="48"/>
      <c r="F26" s="33" t="s">
        <v>79</v>
      </c>
      <c r="G26" s="85"/>
      <c r="H26" s="86">
        <f>D19</f>
        <v>0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 ht="14.25" customHeight="1" x14ac:dyDescent="0.25">
      <c r="A27" s="23" t="s">
        <v>30</v>
      </c>
      <c r="B27" s="17">
        <f>IFERROR(D25-D26, "Missing inputs")</f>
        <v>0</v>
      </c>
      <c r="C27" s="24"/>
      <c r="D27" s="29">
        <f t="shared" si="11"/>
        <v>0</v>
      </c>
      <c r="E27" s="48"/>
      <c r="F27" s="97" t="s">
        <v>72</v>
      </c>
      <c r="G27" s="35"/>
      <c r="H27" s="57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22" ht="14.25" customHeight="1" x14ac:dyDescent="0.25">
      <c r="A28" s="23" t="s">
        <v>28</v>
      </c>
      <c r="B28" s="26">
        <f>ROUND(10.88*(D13/1000)/12, 2)</f>
        <v>0</v>
      </c>
      <c r="C28" s="24"/>
      <c r="D28" s="29">
        <f t="shared" si="11"/>
        <v>0</v>
      </c>
      <c r="E28" s="36"/>
      <c r="F28" s="97" t="s">
        <v>73</v>
      </c>
      <c r="G28" s="36"/>
      <c r="H28" s="50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22" ht="14.25" customHeight="1" x14ac:dyDescent="0.25">
      <c r="A29" s="23" t="s">
        <v>2</v>
      </c>
      <c r="B29" s="26">
        <f>ROUND(3.5*(D13/1000)/12, 2)</f>
        <v>0</v>
      </c>
      <c r="C29" s="24"/>
      <c r="D29" s="29">
        <f t="shared" si="11"/>
        <v>0</v>
      </c>
      <c r="E29" s="46"/>
      <c r="F29" s="36"/>
      <c r="G29" s="36"/>
      <c r="H29" s="50"/>
      <c r="I29" s="38"/>
      <c r="J29" s="38"/>
      <c r="K29" s="50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 x14ac:dyDescent="0.25">
      <c r="A30" s="53" t="s">
        <v>3</v>
      </c>
      <c r="B30" s="26">
        <f>IF(D12="Condominium", 1.02*D13/1000, 0)</f>
        <v>0</v>
      </c>
      <c r="C30" s="26"/>
      <c r="D30" s="29">
        <f t="shared" si="11"/>
        <v>0</v>
      </c>
      <c r="E30" s="46"/>
      <c r="F30" s="49"/>
      <c r="G30" s="49"/>
      <c r="H30" s="38"/>
      <c r="I30" s="38"/>
      <c r="J30" s="38"/>
      <c r="K30" s="50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22" x14ac:dyDescent="0.25">
      <c r="A31" s="23" t="s">
        <v>55</v>
      </c>
      <c r="B31" s="26">
        <f>MAX(D9-D14-D18, 0)</f>
        <v>0</v>
      </c>
      <c r="C31" s="24"/>
      <c r="D31" s="29">
        <f t="shared" si="11"/>
        <v>0</v>
      </c>
      <c r="E31" s="46"/>
      <c r="F31" s="64" t="s">
        <v>90</v>
      </c>
      <c r="G31" s="52"/>
      <c r="H31" s="52"/>
      <c r="I31" s="52"/>
      <c r="J31" s="65"/>
      <c r="K31" s="50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2" x14ac:dyDescent="0.25">
      <c r="A32" s="53" t="s">
        <v>4</v>
      </c>
      <c r="B32" s="17">
        <f>_xlfn.FLOOR.MATH((IF(D12="Two-Family",3.83*D13/1000,IF(D12="Three-Family",3.04*D13/1000,0))), 50)</f>
        <v>0</v>
      </c>
      <c r="C32" s="26"/>
      <c r="D32" s="29">
        <f t="shared" si="11"/>
        <v>0</v>
      </c>
      <c r="E32" s="46"/>
      <c r="F32" s="72" t="str">
        <f>IF(OR(D12="Single-Family",D12="Condominium",D12="Two-Family"),IF(B38&gt;Config!B22," - HTI exceeds program limit",""),"")</f>
        <v/>
      </c>
      <c r="G32" s="73"/>
      <c r="H32" s="73"/>
      <c r="I32" s="73"/>
      <c r="J32" s="74"/>
      <c r="K32" s="50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 x14ac:dyDescent="0.25">
      <c r="A33" s="54" t="s">
        <v>5</v>
      </c>
      <c r="B33" s="20">
        <f>(IF(D12="Three-Family", _xlfn.FLOOR.MATH(3.04*D13/1000, 50), 0))</f>
        <v>0</v>
      </c>
      <c r="C33" s="55"/>
      <c r="D33" s="29">
        <f t="shared" si="11"/>
        <v>0</v>
      </c>
      <c r="E33" s="46"/>
      <c r="F33" s="88" t="str">
        <f>IF(D9&gt;75000, " - $75,000 asset limit exceeded", "")</f>
        <v/>
      </c>
      <c r="G33" s="35"/>
      <c r="H33" s="35"/>
      <c r="I33" s="35"/>
      <c r="J33" s="89"/>
      <c r="K33" s="50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 spans="1:22" x14ac:dyDescent="0.25">
      <c r="A34" s="76"/>
      <c r="B34" s="52"/>
      <c r="C34" s="99"/>
      <c r="D34" s="100"/>
      <c r="E34" s="46"/>
      <c r="F34" s="39" t="str">
        <f>IF(Config!B23=0, "", IF(B39&gt;Config!B23," - DTI exceeds program limit",""))</f>
        <v/>
      </c>
      <c r="G34" s="36"/>
      <c r="H34" s="36"/>
      <c r="I34" s="36"/>
      <c r="J34" s="40"/>
      <c r="K34" s="51"/>
      <c r="L34" s="37"/>
      <c r="M34" s="37"/>
      <c r="N34" s="37"/>
      <c r="O34" s="36"/>
      <c r="P34" s="36"/>
      <c r="Q34" s="36"/>
      <c r="R34" s="36"/>
      <c r="S34" s="36"/>
      <c r="T34" s="36"/>
      <c r="U34" s="36"/>
      <c r="V34" s="36"/>
    </row>
    <row r="35" spans="1:22" x14ac:dyDescent="0.25">
      <c r="A35" s="64" t="s">
        <v>56</v>
      </c>
      <c r="B35" s="65"/>
      <c r="C35" s="44"/>
      <c r="D35" s="36"/>
      <c r="E35" s="46"/>
      <c r="F35" s="39" t="str">
        <f>IF(AND(OR(D12="Single-Family",D12="Condominium"), D26&gt;0),IF(B38&gt;0.41," - Year 8 HTI exceeds program limit",""),"")</f>
        <v/>
      </c>
      <c r="G35" s="36"/>
      <c r="H35" s="36"/>
      <c r="I35" s="36"/>
      <c r="J35" s="40"/>
      <c r="K35" s="50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x14ac:dyDescent="0.25">
      <c r="A36" s="60" t="s">
        <v>25</v>
      </c>
      <c r="B36" s="31" t="str">
        <f>IF(D6&lt;=VLOOKUP(D8, IncTable[], 2, FALSE), "Under 80% AMI", IF(D6&lt;=VLOOKUP(D8, IncTable[], 3, FALSE), "Under 100% AMI", "Over Income"))</f>
        <v>Under 80% AMI</v>
      </c>
      <c r="C36" s="44"/>
      <c r="D36" s="36" t="str">
        <f>IF(C36="", B36, C36)</f>
        <v>Under 80% AMI</v>
      </c>
      <c r="E36" s="46"/>
      <c r="F36" s="39" t="str">
        <f>IF(D10&lt;Config!B25, " - Credit score minimum not met", "")</f>
        <v/>
      </c>
      <c r="G36" s="36"/>
      <c r="H36" s="36"/>
      <c r="I36" s="36"/>
      <c r="J36" s="40"/>
      <c r="K36" s="50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 x14ac:dyDescent="0.25">
      <c r="A37" s="134" t="s">
        <v>71</v>
      </c>
      <c r="B37" s="90" t="str">
        <f>IF(AND(B36="Under 100% AMI", B41&lt;&gt;"Denied*"), "50 BPS Discount", IF(AND(B36="Under 80% AMI", B41&lt;&gt;"Denied*"), "100 BPS Discount", ""))</f>
        <v/>
      </c>
      <c r="C37" s="44"/>
      <c r="D37" s="36"/>
      <c r="E37" s="46"/>
      <c r="F37" s="39" t="str">
        <f>IF(OR(D12="Single-Family",D12="Condominium",D12="Two-Family"),IF(D14&lt;ROUND(0.015*D13, 2)," - Borrower minimum down payment contribution not met",""),IF(D12="Three-Family",IF(D14&lt;ROUND(0.03*D13, 2)," - Borrower minimum down payment contribution not met",""), ""))</f>
        <v/>
      </c>
      <c r="G37" s="37"/>
      <c r="H37" s="37"/>
      <c r="I37" s="37"/>
      <c r="J37" s="41"/>
      <c r="K37" s="50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x14ac:dyDescent="0.25">
      <c r="A38" s="23" t="s">
        <v>45</v>
      </c>
      <c r="B38" s="19" t="str">
        <f>IFERROR(ROUND(SUM(D27,D28,D29,D30)/((D7/12)+((D32+D33)*0.75)), 4), "")</f>
        <v/>
      </c>
      <c r="C38" s="44"/>
      <c r="D38" s="47" t="str">
        <f>IF(C38="", B38, C38)</f>
        <v/>
      </c>
      <c r="E38" s="46"/>
      <c r="F38" s="39" t="str">
        <f>IF(B36="Over Income", " - Household income exceeds program limits", "")</f>
        <v/>
      </c>
      <c r="G38" s="37"/>
      <c r="H38" s="36"/>
      <c r="I38" s="36"/>
      <c r="J38" s="40"/>
      <c r="K38" s="50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</row>
    <row r="39" spans="1:22" x14ac:dyDescent="0.25">
      <c r="A39" s="23" t="s">
        <v>46</v>
      </c>
      <c r="B39" s="19" t="str">
        <f>IFERROR(ROUND(SUM(D27,D28,D29,D30,D11)/((D7/12)+((D32+D33)*0.75)),4),"")</f>
        <v/>
      </c>
      <c r="C39" s="44"/>
      <c r="D39" s="47" t="str">
        <f>IF(C39="", B39, C39)</f>
        <v/>
      </c>
      <c r="E39" s="46"/>
      <c r="F39" s="39" t="str">
        <f>IF(B53&gt;50000, " - Total CoB funds cannot exceed $50,000. Reduce FAP DPA or closing cost funds", "")</f>
        <v/>
      </c>
      <c r="G39" s="36"/>
      <c r="H39" s="36"/>
      <c r="I39" s="36"/>
      <c r="J39" s="40"/>
      <c r="K39" s="50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0" spans="1:22" x14ac:dyDescent="0.25">
      <c r="A40" s="27" t="s">
        <v>51</v>
      </c>
      <c r="B40" s="28" t="str">
        <f>IFERROR(ROUND(SUM(D25,D28,D29,D30)/((D7/12)+(0.75*SUM(D32:D33))), 4), "")</f>
        <v/>
      </c>
      <c r="C40" s="44"/>
      <c r="D40" s="47" t="str">
        <f>IF(C40="", B40, C40)</f>
        <v/>
      </c>
      <c r="E40" s="46"/>
      <c r="F40" s="39" t="str">
        <f>IF(D12="Three-Family",IF(D31&lt;(2*SUM(D27,D28,D29,D30))," - Borrower requires 2 months of PITI in reserves", ""),IF(D12="Two-Family",IF(D31&lt;SUM(D27,D28,D29,D30)," - Borrower requires 1 month of PITI in reserves",""), ""))</f>
        <v/>
      </c>
      <c r="G40" s="36"/>
      <c r="H40" s="36"/>
      <c r="I40" s="36"/>
      <c r="J40" s="40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</row>
    <row r="41" spans="1:22" x14ac:dyDescent="0.25">
      <c r="A41" s="91" t="s">
        <v>50</v>
      </c>
      <c r="B41" s="92" t="str">
        <f>IF(SUM(LEN(F32),LEN(F33),LEN(F34),LEN(F35),LEN(F36),LEN(F37),LEN(F38),LEN(F39),LEN(F40),LEN(F41),LEN(F42),,LEN(F44),LEN(F45))&gt;0, "Denied*",IF(D36="Over Income","Denied*",IF(D12="Three-Family",IF(AND(D39&lt;=Config!B23,D31&gt;=(2*SUM(D27,D28,D29,D30))),"Approved","Denied*"),IF(D12="Two-Family",IF(AND(D38&lt;=Config!B22,D39&lt;=Config!B23,D31&gt;=SUM(D27,D28,D29,D30)),"Approved","Denied*"),IF(AND(D38&lt;=Config!B20,D39&lt;=Config!B21,D40&lt;=0.41),"Approved",IF(AND(D38&lt;=Config!B22,D39&lt;=Config!B23,D40&lt;=0.41),"Tier 2*","Denied"))))))</f>
        <v>Denied*</v>
      </c>
      <c r="C41" s="44"/>
      <c r="D41" s="36"/>
      <c r="E41" s="36"/>
      <c r="F41" s="39" t="str">
        <f>IF((D14+C31)&gt;75000, " - Applicant's liquid assets exceed $75,000 limit", "")</f>
        <v/>
      </c>
      <c r="G41" s="36"/>
      <c r="H41" s="36"/>
      <c r="I41" s="36"/>
      <c r="J41" s="40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x14ac:dyDescent="0.25">
      <c r="A42" s="78"/>
      <c r="B42" s="96" t="str">
        <f>IF(B41="Denied*", "*See Additional Information -----&gt;", IF(B41="Tier 2*", "*Requires compensating factors", ""))</f>
        <v>*See Additional Information -----&gt;</v>
      </c>
      <c r="C42" s="50"/>
      <c r="D42" s="36"/>
      <c r="E42" s="36"/>
      <c r="F42" s="39" t="str">
        <f>IF(D13&lt;&gt;D22+D17, " - Purchase financing arithmetic error", "")</f>
        <v/>
      </c>
      <c r="G42" s="36"/>
      <c r="H42" s="36"/>
      <c r="I42" s="36"/>
      <c r="J42" s="40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</row>
    <row r="43" spans="1:22" x14ac:dyDescent="0.25">
      <c r="A43" s="49"/>
      <c r="B43" s="76"/>
      <c r="C43" s="50"/>
      <c r="D43" s="36"/>
      <c r="E43" s="36"/>
      <c r="F43" s="39" t="str">
        <f>IF((D9-D14-D18)&gt;(12*SUM(D25, D28, D29, D30)), " - Borrower has $"&amp;ROUND(D9-D14-D18-(SUM(D25,D28,D29,D30)*12), 2)&amp;" more than 12 months' reserves after closing", "")</f>
        <v/>
      </c>
      <c r="G43" s="36"/>
      <c r="H43" s="36"/>
      <c r="I43" s="36"/>
      <c r="J43" s="40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 spans="1:22" x14ac:dyDescent="0.25">
      <c r="A44" s="64" t="s">
        <v>11</v>
      </c>
      <c r="B44" s="65"/>
      <c r="C44" s="44"/>
      <c r="D44" s="36"/>
      <c r="E44" s="36"/>
      <c r="F44" s="39" t="str">
        <f>IF(OR(C6="", C8="", C9="", C10="", C11="", C12="",C13=""), " - Application incomplete; please fill in blue fields", "")</f>
        <v xml:space="preserve"> - Application incomplete; please fill in blue fields</v>
      </c>
      <c r="G44" s="36"/>
      <c r="H44" s="36"/>
      <c r="I44" s="36"/>
      <c r="J44" s="40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x14ac:dyDescent="0.25">
      <c r="A45" s="60" t="s">
        <v>12</v>
      </c>
      <c r="B45" s="61">
        <f>D22*0.01</f>
        <v>0</v>
      </c>
      <c r="C45" s="44"/>
      <c r="D45" s="45"/>
      <c r="E45" s="36"/>
      <c r="F45" s="75" t="str">
        <f>IF(C22&gt;Config!B19, " - Mortgage exceeds FNMA loan limit", "")</f>
        <v/>
      </c>
      <c r="G45" s="76"/>
      <c r="H45" s="76"/>
      <c r="I45" s="76"/>
      <c r="J45" s="77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spans="1:22" x14ac:dyDescent="0.25">
      <c r="A46" s="23" t="s">
        <v>13</v>
      </c>
      <c r="B46" s="17">
        <f>IFERROR(IF(D12="Three-Family", 0, IF(OR(B36="Under 100% AMI",B36="Over Income"), 0, ROUND(IF(AND(N18&gt;=Config!B24, N16&lt;=12000), N15, IF(AND(M18&gt;=Config!B24, M16&lt;=12000), M15, IF(AND(L18&gt;=Config!B24, L16&lt;=12000), L15, IF(AND(K18&gt;=Config!B24, K16&lt;=12000),K15, IF(AND(J18&gt;=Config!B24, J16&lt;=12000),J15, IF(AND(I18&gt;=Config!B24, I16&lt;=12000),I15, IF(AND(H18&gt;=Config!B24, H16&lt;=12000),H15, IF(AND(G18&gt;=Config!B24, G16&lt;=12000), G15, 0)))))))), 2))), "")</f>
        <v>0</v>
      </c>
      <c r="C46" s="44"/>
      <c r="D46" s="4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 spans="1:22" x14ac:dyDescent="0.25">
      <c r="A47" s="23" t="s">
        <v>14</v>
      </c>
      <c r="B47" s="17">
        <f>IFERROR(IF(D12="Three-Family", 0, IF(OR(B36="Under 100% AMI",B36="Over Income"), 0, ROUND(IF(AND(N18&gt;=Config!B24, N16&lt;=12000), N14, IF(AND(M18&gt;=Config!B24, M16&lt;=12000), M14, IF(AND(L18&gt;=Config!B24, L16&lt;=12000), L14, IF(AND(K18&gt;=Config!B24, K16&lt;=12000),K14, IF(AND(J18&gt;=Config!B24, J16&lt;=12000),J14, IF(AND(I18&gt;=Config!B24, I16&lt;=12000),I14, IF(AND(H18&gt;=Config!B24, H16&lt;=12000),H14, IF(AND(G18&gt;=Config!B24, G16&lt;=12000), G14, 0)))))))), 2))), "")</f>
        <v>0</v>
      </c>
      <c r="C47" s="44"/>
      <c r="D47" s="4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 spans="1:22" x14ac:dyDescent="0.25">
      <c r="A48" s="94" t="s">
        <v>37</v>
      </c>
      <c r="B48" s="95">
        <f>SUM(B45,B46)</f>
        <v>0</v>
      </c>
      <c r="C48" s="44"/>
      <c r="D48" s="45"/>
      <c r="E48" s="36"/>
      <c r="F48" s="36"/>
      <c r="G48" s="36"/>
      <c r="H48" s="10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1:22" x14ac:dyDescent="0.25">
      <c r="A49" s="23"/>
      <c r="B49" s="17"/>
      <c r="C49" s="44"/>
      <c r="D49" s="4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x14ac:dyDescent="0.25">
      <c r="A50" s="27" t="s">
        <v>15</v>
      </c>
      <c r="B50" s="34">
        <f>ROUND(IF(B4="Cambridge Trust", (D23-D24)*5*D22, IF(D36="Under 80% AMI", 0.00625*8*D22, IF(D36="Under 100% AMI", 0.00625*4*D22, 0))), 2)</f>
        <v>0</v>
      </c>
      <c r="C50" s="128"/>
      <c r="D50" s="45"/>
      <c r="E50" s="36"/>
      <c r="F50" s="36"/>
      <c r="G50" s="36"/>
      <c r="H50" s="36"/>
      <c r="I50" s="36"/>
      <c r="J50" s="36"/>
      <c r="K50" s="38"/>
      <c r="L50" s="38"/>
      <c r="M50" s="38"/>
      <c r="N50" s="38"/>
      <c r="O50" s="36"/>
      <c r="P50" s="36"/>
      <c r="Q50" s="36"/>
      <c r="R50" s="36"/>
      <c r="S50" s="36"/>
      <c r="T50" s="36"/>
      <c r="U50" s="36"/>
      <c r="V50" s="36"/>
    </row>
    <row r="51" spans="1:22" x14ac:dyDescent="0.25">
      <c r="A51" s="84" t="s">
        <v>9</v>
      </c>
      <c r="B51" s="98">
        <f>D15</f>
        <v>0</v>
      </c>
      <c r="C51" s="44"/>
      <c r="D51" s="45"/>
      <c r="E51" s="38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  <row r="52" spans="1:22" x14ac:dyDescent="0.25">
      <c r="A52" s="84" t="s">
        <v>74</v>
      </c>
      <c r="B52" s="98">
        <f>D19</f>
        <v>0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</row>
    <row r="53" spans="1:22" x14ac:dyDescent="0.25">
      <c r="A53" s="91" t="s">
        <v>75</v>
      </c>
      <c r="B53" s="93">
        <f>SUM(D15, D19, B50)</f>
        <v>0</v>
      </c>
      <c r="C53" s="36"/>
      <c r="D53" s="36"/>
      <c r="E53" s="36"/>
      <c r="F53" s="36"/>
      <c r="G53" s="38"/>
      <c r="H53" s="38"/>
      <c r="I53" s="38"/>
      <c r="J53" s="38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</row>
    <row r="54" spans="1:22" x14ac:dyDescent="0.25">
      <c r="A54" s="35"/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</row>
    <row r="55" spans="1:22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 spans="1:22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</row>
    <row r="57" spans="1:2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1:22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</row>
    <row r="59" spans="1:22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</row>
    <row r="60" spans="1:22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</row>
    <row r="61" spans="1:22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spans="1:22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spans="1:22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22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</row>
    <row r="65" spans="5:22" x14ac:dyDescent="0.25"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</sheetData>
  <mergeCells count="3">
    <mergeCell ref="B3:C3"/>
    <mergeCell ref="B4:C4"/>
    <mergeCell ref="B1:C1"/>
  </mergeCells>
  <conditionalFormatting sqref="B53">
    <cfRule type="cellIs" dxfId="51" priority="66" operator="greaterThan">
      <formula>50000</formula>
    </cfRule>
  </conditionalFormatting>
  <conditionalFormatting sqref="B7 B9:B10 B16 B18 B20">
    <cfRule type="expression" dxfId="50" priority="65">
      <formula>LEN(C7)&gt;0</formula>
    </cfRule>
  </conditionalFormatting>
  <conditionalFormatting sqref="B8">
    <cfRule type="expression" dxfId="49" priority="64">
      <formula>LEN(C8)&gt;0</formula>
    </cfRule>
  </conditionalFormatting>
  <conditionalFormatting sqref="B11">
    <cfRule type="expression" dxfId="48" priority="63">
      <formula>LEN(C11)&gt;0</formula>
    </cfRule>
  </conditionalFormatting>
  <conditionalFormatting sqref="B12">
    <cfRule type="expression" dxfId="47" priority="62">
      <formula>LEN(C12)&gt;0</formula>
    </cfRule>
  </conditionalFormatting>
  <conditionalFormatting sqref="B13">
    <cfRule type="expression" dxfId="46" priority="61">
      <formula>LEN(C13)&gt;0</formula>
    </cfRule>
  </conditionalFormatting>
  <conditionalFormatting sqref="B14">
    <cfRule type="expression" dxfId="45" priority="60">
      <formula>LEN(C14)&gt;0</formula>
    </cfRule>
  </conditionalFormatting>
  <conditionalFormatting sqref="B15">
    <cfRule type="expression" dxfId="44" priority="59">
      <formula>LEN(C15)&gt;0</formula>
    </cfRule>
  </conditionalFormatting>
  <conditionalFormatting sqref="B17">
    <cfRule type="expression" dxfId="43" priority="58">
      <formula>LEN(C17)&gt;0</formula>
    </cfRule>
  </conditionalFormatting>
  <conditionalFormatting sqref="B22">
    <cfRule type="expression" dxfId="42" priority="57">
      <formula>LEN(C22)&gt;0</formula>
    </cfRule>
  </conditionalFormatting>
  <conditionalFormatting sqref="B23">
    <cfRule type="expression" dxfId="41" priority="56">
      <formula>LEN(C23)&gt;0</formula>
    </cfRule>
  </conditionalFormatting>
  <conditionalFormatting sqref="B24">
    <cfRule type="expression" dxfId="40" priority="55">
      <formula>LEN(C24)&gt;0</formula>
    </cfRule>
  </conditionalFormatting>
  <conditionalFormatting sqref="B25">
    <cfRule type="expression" dxfId="39" priority="54">
      <formula>LEN(C25)&gt;0</formula>
    </cfRule>
  </conditionalFormatting>
  <conditionalFormatting sqref="B26">
    <cfRule type="expression" dxfId="38" priority="53">
      <formula>LEN(C26)&gt;0</formula>
    </cfRule>
  </conditionalFormatting>
  <conditionalFormatting sqref="B27">
    <cfRule type="expression" dxfId="37" priority="52">
      <formula>LEN(C27)&gt;0</formula>
    </cfRule>
  </conditionalFormatting>
  <conditionalFormatting sqref="B28">
    <cfRule type="expression" dxfId="36" priority="51">
      <formula>LEN(C28)&gt;0</formula>
    </cfRule>
  </conditionalFormatting>
  <conditionalFormatting sqref="B29">
    <cfRule type="expression" dxfId="35" priority="50">
      <formula>LEN(C29)&gt;0</formula>
    </cfRule>
  </conditionalFormatting>
  <conditionalFormatting sqref="B31">
    <cfRule type="expression" dxfId="34" priority="48">
      <formula>LEN(C31)&gt;0</formula>
    </cfRule>
  </conditionalFormatting>
  <conditionalFormatting sqref="A30">
    <cfRule type="expression" dxfId="33" priority="45">
      <formula>D12="Condominium"</formula>
    </cfRule>
  </conditionalFormatting>
  <conditionalFormatting sqref="A32">
    <cfRule type="expression" dxfId="32" priority="44">
      <formula>OR(D12="Two-Family", D12="Three-Family")</formula>
    </cfRule>
  </conditionalFormatting>
  <conditionalFormatting sqref="A33">
    <cfRule type="expression" dxfId="31" priority="43">
      <formula>D12="Three-Family"</formula>
    </cfRule>
  </conditionalFormatting>
  <conditionalFormatting sqref="C30">
    <cfRule type="expression" dxfId="30" priority="42">
      <formula>D12="Condominium"</formula>
    </cfRule>
  </conditionalFormatting>
  <conditionalFormatting sqref="C32">
    <cfRule type="expression" dxfId="29" priority="41">
      <formula>OR(D12="Two-Family", D12="Three-Family")</formula>
    </cfRule>
  </conditionalFormatting>
  <conditionalFormatting sqref="C33">
    <cfRule type="expression" dxfId="28" priority="40">
      <formula>D12="Three-Family"</formula>
    </cfRule>
  </conditionalFormatting>
  <conditionalFormatting sqref="C17">
    <cfRule type="expression" dxfId="27" priority="21">
      <formula>AND(($C$14+$C$15)&lt;&gt;$B$17, LEN(C14)&gt;0, LEN(C15)&gt;0)</formula>
    </cfRule>
  </conditionalFormatting>
  <conditionalFormatting sqref="G16:N16">
    <cfRule type="cellIs" dxfId="26" priority="18" operator="greaterThan">
      <formula>12000</formula>
    </cfRule>
  </conditionalFormatting>
  <conditionalFormatting sqref="F31:J45">
    <cfRule type="expression" dxfId="25" priority="99">
      <formula>SUM(LEN($F$32),LEN($F$34),LEN($F$35),LEN($F$36),LEN($F$37),LEN($F$38),LEN($F$39),LEN($F$40),LEN($F$41),LEN($F$42),LEN($F$43),LEN($F$44), LEN($F$45))=0</formula>
    </cfRule>
  </conditionalFormatting>
  <conditionalFormatting sqref="C22 C13:C17">
    <cfRule type="expression" dxfId="24" priority="211">
      <formula>$D$13&lt;&gt;$D$22+$D$17</formula>
    </cfRule>
  </conditionalFormatting>
  <conditionalFormatting sqref="B21">
    <cfRule type="expression" dxfId="23" priority="15">
      <formula>LEN(C21)&gt;0</formula>
    </cfRule>
  </conditionalFormatting>
  <conditionalFormatting sqref="B19">
    <cfRule type="expression" dxfId="22" priority="8">
      <formula>LEN(C19)&gt;0</formula>
    </cfRule>
  </conditionalFormatting>
  <conditionalFormatting sqref="G7:G19">
    <cfRule type="expression" dxfId="21" priority="285">
      <formula>AND($G$18=$B$38, $G$18&lt;&gt;0)</formula>
    </cfRule>
  </conditionalFormatting>
  <conditionalFormatting sqref="J7:J19">
    <cfRule type="expression" dxfId="20" priority="286">
      <formula>AND($J$18=$B$38, $J$18&lt;&gt;0)</formula>
    </cfRule>
  </conditionalFormatting>
  <conditionalFormatting sqref="H7:H19">
    <cfRule type="expression" dxfId="19" priority="287">
      <formula>AND($H$18=$B$38, $H$18&lt;&gt;0)</formula>
    </cfRule>
  </conditionalFormatting>
  <conditionalFormatting sqref="I7:I19">
    <cfRule type="expression" dxfId="18" priority="288">
      <formula>AND($I$18=$B$38, $I$18&lt;&gt;0)</formula>
    </cfRule>
  </conditionalFormatting>
  <conditionalFormatting sqref="K7:K19">
    <cfRule type="expression" dxfId="17" priority="289">
      <formula>AND($K$18=$B$38, $K$18&lt;&gt;0)</formula>
    </cfRule>
  </conditionalFormatting>
  <conditionalFormatting sqref="L7:L19">
    <cfRule type="expression" dxfId="16" priority="290">
      <formula>AND($L$18=$B$38, $L$18&lt;&gt;0)</formula>
    </cfRule>
  </conditionalFormatting>
  <conditionalFormatting sqref="M7:M19">
    <cfRule type="expression" dxfId="15" priority="291">
      <formula>AND($M$18=$B$38, $M$18&lt;&gt;0)</formula>
    </cfRule>
  </conditionalFormatting>
  <conditionalFormatting sqref="N7:N19">
    <cfRule type="expression" dxfId="14" priority="292">
      <formula>AND($N$18=$B$38, $N$18&lt;&gt;0)</formula>
    </cfRule>
  </conditionalFormatting>
  <conditionalFormatting sqref="B19">
    <cfRule type="expression" dxfId="13" priority="294">
      <formula>($B$14+$B$15)&lt;&gt;$B$17</formula>
    </cfRule>
    <cfRule type="expression" dxfId="12" priority="295">
      <formula>SUM($D$14:$D$15)&lt;$D$17</formula>
    </cfRule>
  </conditionalFormatting>
  <conditionalFormatting sqref="C14:C16">
    <cfRule type="expression" dxfId="11" priority="296">
      <formula>AND($C$17&lt;&gt;SUM($D$14:$D$16), LEN($C$17)&lt;&gt;0)</formula>
    </cfRule>
  </conditionalFormatting>
  <conditionalFormatting sqref="C18:C20">
    <cfRule type="expression" dxfId="10" priority="297">
      <formula>AND($C$21&lt;&gt;SUM($D$18:$D$20), LEN($C$21)&lt;&gt;0)</formula>
    </cfRule>
  </conditionalFormatting>
  <conditionalFormatting sqref="B30">
    <cfRule type="expression" dxfId="9" priority="298">
      <formula>OR(D12="Single-Family",D12="Two-Family",D12="Three-Family")</formula>
    </cfRule>
    <cfRule type="expression" dxfId="8" priority="299">
      <formula>LEN(C30)&gt;0</formula>
    </cfRule>
  </conditionalFormatting>
  <conditionalFormatting sqref="B32">
    <cfRule type="expression" dxfId="7" priority="300">
      <formula>OR(D12="Single-Family",D12="Condominium")</formula>
    </cfRule>
    <cfRule type="expression" dxfId="6" priority="301">
      <formula>LEN(C32)&gt;0</formula>
    </cfRule>
  </conditionalFormatting>
  <conditionalFormatting sqref="B33">
    <cfRule type="expression" dxfId="5" priority="302">
      <formula>OR(D12="Single-Family",D12="Condominium",D12="Two-Family")</formula>
    </cfRule>
    <cfRule type="expression" dxfId="4" priority="303">
      <formula>LEN(C33)&gt;0</formula>
    </cfRule>
  </conditionalFormatting>
  <conditionalFormatting sqref="C14:C15">
    <cfRule type="expression" dxfId="3" priority="3">
      <formula>$B$17&lt;&gt;SUM($B$14, $B$15)</formula>
    </cfRule>
  </conditionalFormatting>
  <conditionalFormatting sqref="B14:B15">
    <cfRule type="expression" dxfId="2" priority="2">
      <formula>$B$17&lt;&gt;SUM($B$14, $B$15)</formula>
    </cfRule>
  </conditionalFormatting>
  <conditionalFormatting sqref="C23:C24">
    <cfRule type="expression" dxfId="1" priority="1">
      <formula>$B$4="Cambridge Trust"</formula>
    </cfRule>
  </conditionalFormatting>
  <dataValidations count="3">
    <dataValidation type="decimal" operator="greaterThanOrEqual" allowBlank="1" showInputMessage="1" showErrorMessage="1" sqref="C11 C6 C9 C13:C33" xr:uid="{00000000-0002-0000-0000-000000000000}">
      <formula1>0</formula1>
    </dataValidation>
    <dataValidation type="whole" operator="greaterThanOrEqual" allowBlank="1" showInputMessage="1" showErrorMessage="1" sqref="C10" xr:uid="{00000000-0002-0000-0000-000001000000}">
      <formula1>0</formula1>
    </dataValidation>
    <dataValidation type="whole" operator="greaterThanOrEqual" allowBlank="1" showInputMessage="1" showErrorMessage="1" sqref="C8" xr:uid="{00000000-0002-0000-0000-000002000000}">
      <formula1>1</formula1>
    </dataValidation>
  </dataValidations>
  <hyperlinks>
    <hyperlink ref="B1" r:id="rId1" xr:uid="{00000000-0004-0000-0000-000000000000}"/>
  </hyperlinks>
  <pageMargins left="0.25" right="0.25" top="0.75" bottom="0.75" header="0.3" footer="0.3"/>
  <pageSetup paperSize="8" scale="89" orientation="landscape" horizontalDpi="4294967292"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" operator="lessThan" id="{7AF0D493-DCE1-471A-BF36-0670350C840C}">
            <xm:f>Config!$B$24</xm:f>
            <x14:dxf>
              <font>
                <color rgb="FFC00000"/>
              </font>
            </x14:dxf>
          </x14:cfRule>
          <xm:sqref>G18:N18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Config!$A$2:$A$5</xm:f>
          </x14:formula1>
          <xm:sqref>C12</xm:sqref>
        </x14:dataValidation>
        <x14:dataValidation type="list" allowBlank="1" showInputMessage="1" showErrorMessage="1" xr:uid="{00000000-0002-0000-0000-000004000000}">
          <x14:formula1>
            <xm:f>Config!$A$27:$A$34</xm:f>
          </x14:formula1>
          <xm:sqref>B4:C4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workbookViewId="0">
      <selection activeCell="D19" sqref="D19"/>
    </sheetView>
  </sheetViews>
  <sheetFormatPr defaultRowHeight="15" x14ac:dyDescent="0.25"/>
  <cols>
    <col min="1" max="1" width="16.7109375" customWidth="1"/>
    <col min="2" max="2" width="10.28515625" customWidth="1"/>
  </cols>
  <sheetData>
    <row r="1" spans="1:3" x14ac:dyDescent="0.25">
      <c r="A1" t="s">
        <v>16</v>
      </c>
    </row>
    <row r="2" spans="1:3" x14ac:dyDescent="0.25">
      <c r="A2" t="s">
        <v>18</v>
      </c>
    </row>
    <row r="3" spans="1:3" x14ac:dyDescent="0.25">
      <c r="A3" t="s">
        <v>19</v>
      </c>
    </row>
    <row r="4" spans="1:3" x14ac:dyDescent="0.25">
      <c r="A4" t="s">
        <v>20</v>
      </c>
    </row>
    <row r="5" spans="1:3" x14ac:dyDescent="0.25">
      <c r="A5" t="s">
        <v>21</v>
      </c>
    </row>
    <row r="7" spans="1:3" x14ac:dyDescent="0.25">
      <c r="A7" t="s">
        <v>24</v>
      </c>
    </row>
    <row r="8" spans="1:3" x14ac:dyDescent="0.25">
      <c r="A8" t="s">
        <v>17</v>
      </c>
      <c r="B8" s="1" t="s">
        <v>26</v>
      </c>
      <c r="C8" s="1" t="s">
        <v>27</v>
      </c>
    </row>
    <row r="9" spans="1:3" x14ac:dyDescent="0.25">
      <c r="A9" s="2">
        <v>1</v>
      </c>
      <c r="B9" s="135">
        <v>78550</v>
      </c>
      <c r="C9" s="135">
        <v>98150</v>
      </c>
    </row>
    <row r="10" spans="1:3" x14ac:dyDescent="0.25">
      <c r="A10" s="2">
        <v>2</v>
      </c>
      <c r="B10" s="135">
        <v>89750</v>
      </c>
      <c r="C10" s="135">
        <v>112150</v>
      </c>
    </row>
    <row r="11" spans="1:3" x14ac:dyDescent="0.25">
      <c r="A11" s="2">
        <v>3</v>
      </c>
      <c r="B11" s="135">
        <v>100950</v>
      </c>
      <c r="C11" s="135">
        <v>126150</v>
      </c>
    </row>
    <row r="12" spans="1:3" x14ac:dyDescent="0.25">
      <c r="A12" s="2">
        <v>4</v>
      </c>
      <c r="B12" s="135">
        <v>112150</v>
      </c>
      <c r="C12" s="135">
        <v>140200</v>
      </c>
    </row>
    <row r="13" spans="1:3" x14ac:dyDescent="0.25">
      <c r="A13" s="2">
        <v>5</v>
      </c>
      <c r="B13" s="135">
        <v>121150</v>
      </c>
      <c r="C13" s="135">
        <v>151400</v>
      </c>
    </row>
    <row r="14" spans="1:3" x14ac:dyDescent="0.25">
      <c r="A14" s="2">
        <v>6</v>
      </c>
      <c r="B14" s="135">
        <v>130100</v>
      </c>
      <c r="C14" s="135">
        <v>162600</v>
      </c>
    </row>
    <row r="15" spans="1:3" x14ac:dyDescent="0.25">
      <c r="A15" s="2">
        <v>7</v>
      </c>
      <c r="B15" s="135">
        <v>139100</v>
      </c>
      <c r="C15" s="135">
        <v>173850</v>
      </c>
    </row>
    <row r="16" spans="1:3" x14ac:dyDescent="0.25">
      <c r="A16" s="2">
        <v>8</v>
      </c>
      <c r="B16" s="135">
        <v>148050</v>
      </c>
      <c r="C16" s="135">
        <v>185050</v>
      </c>
    </row>
    <row r="18" spans="1:2" x14ac:dyDescent="0.25">
      <c r="A18" s="68" t="s">
        <v>41</v>
      </c>
      <c r="B18" s="69"/>
    </row>
    <row r="19" spans="1:2" x14ac:dyDescent="0.25">
      <c r="A19" s="66" t="s">
        <v>42</v>
      </c>
      <c r="B19" s="67">
        <f>IF('Manual Application'!D12="Single-Family",  647200, IF('Manual Application'!D12="Condominium", 647200, IF('Manual Application'!D12="Two-Family", 828700, IF('Manual Application'!D12="Three-Family", 1001650, 0))))</f>
        <v>0</v>
      </c>
    </row>
    <row r="20" spans="1:2" x14ac:dyDescent="0.25">
      <c r="A20" s="8" t="s">
        <v>47</v>
      </c>
      <c r="B20" s="9">
        <f>IF('Manual Application'!D12="Single-Family", 0.33, IF('Manual Application'!D12="Condominium", 0.33, IF('Manual Application'!D12="Two-Family", 0.45, IF('Manual Application'!D12="Three-Family", 0.5, 0))))</f>
        <v>0</v>
      </c>
    </row>
    <row r="21" spans="1:2" x14ac:dyDescent="0.25">
      <c r="A21" s="8" t="s">
        <v>48</v>
      </c>
      <c r="B21" s="9">
        <f>IF('Manual Application'!D12="Single-Family", 0.38, IF('Manual Application'!D12="Condominium", 0.38, IF('Manual Application'!D12="Two-Family", 0.5, IF('Manual Application'!D12="Three-Family", 0.5, 0))))</f>
        <v>0</v>
      </c>
    </row>
    <row r="22" spans="1:2" x14ac:dyDescent="0.25">
      <c r="A22" s="8" t="s">
        <v>43</v>
      </c>
      <c r="B22" s="9">
        <f>IF('Manual Application'!D12="Single-Family", 0.36, IF('Manual Application'!D12="Condominium", 0.36, IF('Manual Application'!D12="Two-Family", 0.45, IF('Manual Application'!D12="Three-Family", 0.5, 0))))</f>
        <v>0</v>
      </c>
    </row>
    <row r="23" spans="1:2" x14ac:dyDescent="0.25">
      <c r="A23" s="8" t="s">
        <v>44</v>
      </c>
      <c r="B23" s="9">
        <f>IF('Manual Application'!D12="Single-Family", 0.43, IF('Manual Application'!D12="Condominium", 0.43, IF('Manual Application'!D12="Two-Family", 0.5, IF('Manual Application'!D12="Three-Family", 0.5, 0))))</f>
        <v>0</v>
      </c>
    </row>
    <row r="24" spans="1:2" x14ac:dyDescent="0.25">
      <c r="A24" s="8" t="s">
        <v>57</v>
      </c>
      <c r="B24" s="9">
        <f>IF('Manual Application'!D12="Single-Family",0.28,IF('Manual Application'!D12="Condominium",0.28,IF('Manual Application'!D12="Two-Family",0.42,0)))</f>
        <v>0</v>
      </c>
    </row>
    <row r="25" spans="1:2" x14ac:dyDescent="0.25">
      <c r="A25" s="13" t="s">
        <v>68</v>
      </c>
      <c r="B25" s="80">
        <f>IF('Manual Application'!D12="Single-Family", 640, IF('Manual Application'!D12="Condominium", 640, IF('Manual Application'!D12="Two-Family", 660, IF('Manual Application'!D12="Three-Family", 660, 0))))</f>
        <v>0</v>
      </c>
    </row>
    <row r="27" spans="1:2" x14ac:dyDescent="0.25">
      <c r="A27" t="s">
        <v>100</v>
      </c>
    </row>
    <row r="28" spans="1:2" x14ac:dyDescent="0.25">
      <c r="A28" t="s">
        <v>93</v>
      </c>
    </row>
    <row r="29" spans="1:2" x14ac:dyDescent="0.25">
      <c r="A29" t="s">
        <v>94</v>
      </c>
    </row>
    <row r="30" spans="1:2" x14ac:dyDescent="0.25">
      <c r="A30" t="s">
        <v>95</v>
      </c>
    </row>
    <row r="31" spans="1:2" x14ac:dyDescent="0.25">
      <c r="A31" t="s">
        <v>99</v>
      </c>
    </row>
    <row r="32" spans="1:2" x14ac:dyDescent="0.25">
      <c r="A32" t="s">
        <v>97</v>
      </c>
    </row>
    <row r="33" spans="1:1" x14ac:dyDescent="0.25">
      <c r="A33" t="s">
        <v>98</v>
      </c>
    </row>
    <row r="34" spans="1:1" x14ac:dyDescent="0.25">
      <c r="A34" t="s">
        <v>96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Application</vt:lpstr>
      <vt:lpstr>Config</vt:lpstr>
      <vt:lpstr>'Manual Application'!Print_Area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Worsham</dc:creator>
  <cp:lastModifiedBy>David Worsham</cp:lastModifiedBy>
  <cp:lastPrinted>2020-12-15T15:47:00Z</cp:lastPrinted>
  <dcterms:created xsi:type="dcterms:W3CDTF">2020-02-21T19:33:08Z</dcterms:created>
  <dcterms:modified xsi:type="dcterms:W3CDTF">2022-04-20T02:45:18Z</dcterms:modified>
</cp:coreProperties>
</file>